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90" yWindow="1110" windowWidth="15600" windowHeight="9240" activeTab="1"/>
  </bookViews>
  <sheets>
    <sheet name="Story" sheetId="6" r:id="rId1"/>
    <sheet name="Book Bal Sheet" sheetId="1" r:id="rId2"/>
    <sheet name="Mkt Bal Sheet" sheetId="5" r:id="rId3"/>
    <sheet name="Assets+Depr" sheetId="3" r:id="rId4"/>
    <sheet name="Loans" sheetId="4" r:id="rId5"/>
    <sheet name="Income Statements" sheetId="8" r:id="rId6"/>
    <sheet name="Owner Equity" sheetId="9" r:id="rId7"/>
    <sheet name="Ratios" sheetId="7" r:id="rId8"/>
  </sheets>
  <calcPr calcId="145621"/>
</workbook>
</file>

<file path=xl/calcChain.xml><?xml version="1.0" encoding="utf-8"?>
<calcChain xmlns="http://schemas.openxmlformats.org/spreadsheetml/2006/main">
  <c r="L8" i="8"/>
  <c r="L43" i="1" l="1"/>
  <c r="K43"/>
  <c r="J43"/>
  <c r="I43"/>
  <c r="H43"/>
  <c r="G43"/>
  <c r="F43"/>
  <c r="E43"/>
  <c r="D43"/>
  <c r="C43"/>
  <c r="C42"/>
  <c r="L31"/>
  <c r="K31"/>
  <c r="J31"/>
  <c r="I31"/>
  <c r="H31"/>
  <c r="G31"/>
  <c r="F31"/>
  <c r="E31"/>
  <c r="D31"/>
  <c r="C31"/>
  <c r="C6"/>
  <c r="C5" i="9"/>
  <c r="C7" s="1"/>
  <c r="I42"/>
  <c r="E39"/>
  <c r="E41" s="1"/>
  <c r="C19"/>
  <c r="D10"/>
  <c r="D19" s="1"/>
  <c r="D29" s="1"/>
  <c r="C29" l="1"/>
  <c r="C33" s="1"/>
  <c r="D6" s="1"/>
  <c r="D33" s="1"/>
  <c r="E6" s="1"/>
  <c r="E10"/>
  <c r="E151" i="4"/>
  <c r="E150"/>
  <c r="E149"/>
  <c r="M148"/>
  <c r="L148"/>
  <c r="K148"/>
  <c r="J148"/>
  <c r="I148"/>
  <c r="H148"/>
  <c r="G148"/>
  <c r="F148"/>
  <c r="E148"/>
  <c r="M147"/>
  <c r="L147"/>
  <c r="J147"/>
  <c r="I147"/>
  <c r="H147"/>
  <c r="G147"/>
  <c r="F147"/>
  <c r="E147"/>
  <c r="D151"/>
  <c r="D150"/>
  <c r="D149"/>
  <c r="D148"/>
  <c r="D147"/>
  <c r="C49"/>
  <c r="F10" i="9" l="1"/>
  <c r="E19"/>
  <c r="C53" i="4"/>
  <c r="F49"/>
  <c r="L137"/>
  <c r="L127"/>
  <c r="I87"/>
  <c r="L117"/>
  <c r="L107"/>
  <c r="K97"/>
  <c r="K147" s="1"/>
  <c r="H77"/>
  <c r="H67"/>
  <c r="F57"/>
  <c r="F37"/>
  <c r="F27"/>
  <c r="D17"/>
  <c r="D7"/>
  <c r="L41" i="1"/>
  <c r="K41"/>
  <c r="J41"/>
  <c r="D41"/>
  <c r="C41"/>
  <c r="L29"/>
  <c r="K29"/>
  <c r="J29"/>
  <c r="D29"/>
  <c r="C29"/>
  <c r="L20" i="8"/>
  <c r="K20"/>
  <c r="J20"/>
  <c r="I20"/>
  <c r="H20"/>
  <c r="G20"/>
  <c r="F20"/>
  <c r="E20"/>
  <c r="D20"/>
  <c r="D32" i="1" s="1"/>
  <c r="C32"/>
  <c r="G29" i="3"/>
  <c r="G30"/>
  <c r="C26" i="9"/>
  <c r="C16"/>
  <c r="E29" l="1"/>
  <c r="E33" s="1"/>
  <c r="F6" s="1"/>
  <c r="G10"/>
  <c r="F19"/>
  <c r="F55" i="4"/>
  <c r="F54" s="1"/>
  <c r="L26" i="9"/>
  <c r="K26"/>
  <c r="J26"/>
  <c r="I26"/>
  <c r="H26"/>
  <c r="G26"/>
  <c r="F26"/>
  <c r="E26"/>
  <c r="D26"/>
  <c r="L16"/>
  <c r="K16"/>
  <c r="J16"/>
  <c r="I16"/>
  <c r="H16"/>
  <c r="G16"/>
  <c r="F16"/>
  <c r="E16"/>
  <c r="D16"/>
  <c r="F29" l="1"/>
  <c r="F33"/>
  <c r="G6" s="1"/>
  <c r="H10"/>
  <c r="G19"/>
  <c r="F53" i="4"/>
  <c r="G49"/>
  <c r="L47" i="8"/>
  <c r="K47"/>
  <c r="J47"/>
  <c r="I47"/>
  <c r="H47"/>
  <c r="G47"/>
  <c r="F47"/>
  <c r="E47"/>
  <c r="D47"/>
  <c r="C47"/>
  <c r="C139" i="4"/>
  <c r="C143" s="1"/>
  <c r="C129"/>
  <c r="C133" s="1"/>
  <c r="C119"/>
  <c r="C123" s="1"/>
  <c r="C89"/>
  <c r="C93" s="1"/>
  <c r="C39"/>
  <c r="C43" s="1"/>
  <c r="C99"/>
  <c r="C59"/>
  <c r="C79"/>
  <c r="C69"/>
  <c r="C29"/>
  <c r="C9"/>
  <c r="D9" s="1"/>
  <c r="G29" i="9" l="1"/>
  <c r="G33" s="1"/>
  <c r="H6" s="1"/>
  <c r="I10"/>
  <c r="H19"/>
  <c r="H29" s="1"/>
  <c r="G55" i="4"/>
  <c r="G54" s="1"/>
  <c r="G53" s="1"/>
  <c r="C109"/>
  <c r="C113" s="1"/>
  <c r="L139"/>
  <c r="L129"/>
  <c r="L119"/>
  <c r="I89"/>
  <c r="I95" s="1"/>
  <c r="I94" s="1"/>
  <c r="I93" s="1"/>
  <c r="F39"/>
  <c r="F45" s="1"/>
  <c r="F44" s="1"/>
  <c r="F43" s="1"/>
  <c r="C33"/>
  <c r="F29"/>
  <c r="L42" i="8"/>
  <c r="K42"/>
  <c r="J42"/>
  <c r="I42"/>
  <c r="H42"/>
  <c r="G42"/>
  <c r="F42"/>
  <c r="L39"/>
  <c r="K39"/>
  <c r="J39"/>
  <c r="I39"/>
  <c r="H39"/>
  <c r="G39"/>
  <c r="F39"/>
  <c r="E39"/>
  <c r="D39"/>
  <c r="L38"/>
  <c r="K38"/>
  <c r="J38"/>
  <c r="I38"/>
  <c r="H38"/>
  <c r="G38"/>
  <c r="F38"/>
  <c r="E38"/>
  <c r="D38"/>
  <c r="C39"/>
  <c r="C38"/>
  <c r="V24" i="3"/>
  <c r="W20" s="1"/>
  <c r="W24" s="1"/>
  <c r="X20" s="1"/>
  <c r="X24" s="1"/>
  <c r="Y20" s="1"/>
  <c r="Y24" s="1"/>
  <c r="Z20" s="1"/>
  <c r="Z24" s="1"/>
  <c r="AA20" s="1"/>
  <c r="AA24" s="1"/>
  <c r="AB20" s="1"/>
  <c r="AB24" s="1"/>
  <c r="AC20" s="1"/>
  <c r="AC24" s="1"/>
  <c r="AD20" s="1"/>
  <c r="AD24" s="1"/>
  <c r="AE20" s="1"/>
  <c r="AE24" s="1"/>
  <c r="V18"/>
  <c r="W14" s="1"/>
  <c r="W18" s="1"/>
  <c r="X14" s="1"/>
  <c r="X18" s="1"/>
  <c r="Y14" s="1"/>
  <c r="Y18" s="1"/>
  <c r="Z14" s="1"/>
  <c r="Z18" s="1"/>
  <c r="AA14" s="1"/>
  <c r="AA18" s="1"/>
  <c r="AB14" s="1"/>
  <c r="AB18" s="1"/>
  <c r="AC14" s="1"/>
  <c r="AC18" s="1"/>
  <c r="AD14" s="1"/>
  <c r="AD18" s="1"/>
  <c r="AE14" s="1"/>
  <c r="AE18" s="1"/>
  <c r="L71" i="8" s="1"/>
  <c r="D28"/>
  <c r="E28" s="1"/>
  <c r="G28" s="1"/>
  <c r="H28" s="1"/>
  <c r="I28" s="1"/>
  <c r="J28" s="1"/>
  <c r="K28" s="1"/>
  <c r="L28" s="1"/>
  <c r="D25"/>
  <c r="E25" s="1"/>
  <c r="F25" s="1"/>
  <c r="H25" s="1"/>
  <c r="I25" s="1"/>
  <c r="J25" s="1"/>
  <c r="L25" s="1"/>
  <c r="D16"/>
  <c r="E16" s="1"/>
  <c r="F16" s="1"/>
  <c r="G16" s="1"/>
  <c r="H16" s="1"/>
  <c r="I16" s="1"/>
  <c r="J16" s="1"/>
  <c r="K16" s="1"/>
  <c r="L16" s="1"/>
  <c r="H33" i="9" l="1"/>
  <c r="I6" s="1"/>
  <c r="J10"/>
  <c r="I19"/>
  <c r="I29" s="1"/>
  <c r="H49" i="4"/>
  <c r="L109"/>
  <c r="L115" s="1"/>
  <c r="L114" s="1"/>
  <c r="L113" s="1"/>
  <c r="F35"/>
  <c r="F34" s="1"/>
  <c r="E32" i="1"/>
  <c r="T24" i="8"/>
  <c r="T30" s="1"/>
  <c r="F24" s="1"/>
  <c r="H71"/>
  <c r="H75" s="1"/>
  <c r="H7" s="1"/>
  <c r="H8" s="1"/>
  <c r="K71"/>
  <c r="K75" s="1"/>
  <c r="K7" s="1"/>
  <c r="K8" s="1"/>
  <c r="E71"/>
  <c r="E75" s="1"/>
  <c r="E7" s="1"/>
  <c r="E8" s="1"/>
  <c r="R24"/>
  <c r="R28" s="1"/>
  <c r="Z24"/>
  <c r="Z28" s="1"/>
  <c r="F71"/>
  <c r="F75" s="1"/>
  <c r="F7" s="1"/>
  <c r="F8" s="1"/>
  <c r="S24"/>
  <c r="S31" s="1"/>
  <c r="E23" s="1"/>
  <c r="G71"/>
  <c r="G75" s="1"/>
  <c r="G7" s="1"/>
  <c r="G8" s="1"/>
  <c r="U24"/>
  <c r="U28" s="1"/>
  <c r="I71"/>
  <c r="I75" s="1"/>
  <c r="I7" s="1"/>
  <c r="I8" s="1"/>
  <c r="V24"/>
  <c r="V31" s="1"/>
  <c r="H23" s="1"/>
  <c r="J71"/>
  <c r="J75" s="1"/>
  <c r="J7" s="1"/>
  <c r="J8" s="1"/>
  <c r="W24"/>
  <c r="W31" s="1"/>
  <c r="I23" s="1"/>
  <c r="X24"/>
  <c r="X28" s="1"/>
  <c r="C71"/>
  <c r="C75" s="1"/>
  <c r="C7" s="1"/>
  <c r="C8" s="1"/>
  <c r="D71"/>
  <c r="D75" s="1"/>
  <c r="D7" s="1"/>
  <c r="D8" s="1"/>
  <c r="Q24"/>
  <c r="Q31" s="1"/>
  <c r="C23" s="1"/>
  <c r="Y24"/>
  <c r="Y31" s="1"/>
  <c r="K23" s="1"/>
  <c r="Q29"/>
  <c r="L145" i="4"/>
  <c r="L144" s="1"/>
  <c r="L143" s="1"/>
  <c r="M139"/>
  <c r="M145" s="1"/>
  <c r="M144" s="1"/>
  <c r="M143" s="1"/>
  <c r="L135"/>
  <c r="L134" s="1"/>
  <c r="L133" s="1"/>
  <c r="L125"/>
  <c r="L124" s="1"/>
  <c r="L123" s="1"/>
  <c r="J89"/>
  <c r="G39"/>
  <c r="L75" i="8"/>
  <c r="L7" s="1"/>
  <c r="I33" i="9" l="1"/>
  <c r="J6" s="1"/>
  <c r="K10"/>
  <c r="J19"/>
  <c r="M129" i="4"/>
  <c r="M135" s="1"/>
  <c r="M134" s="1"/>
  <c r="M133" s="1"/>
  <c r="H55"/>
  <c r="H54" s="1"/>
  <c r="H53" s="1"/>
  <c r="F33"/>
  <c r="E29" i="1"/>
  <c r="E41"/>
  <c r="F32"/>
  <c r="Q30" i="8"/>
  <c r="C24" s="1"/>
  <c r="S28"/>
  <c r="S30"/>
  <c r="E24" s="1"/>
  <c r="Y28"/>
  <c r="Q28"/>
  <c r="C22" s="1"/>
  <c r="V28"/>
  <c r="H22" s="1"/>
  <c r="S29"/>
  <c r="U30"/>
  <c r="G24" s="1"/>
  <c r="V29"/>
  <c r="R29"/>
  <c r="D22" s="1"/>
  <c r="V30"/>
  <c r="H24" s="1"/>
  <c r="R31"/>
  <c r="D23" s="1"/>
  <c r="Y30"/>
  <c r="K24" s="1"/>
  <c r="R30"/>
  <c r="D24" s="1"/>
  <c r="U29"/>
  <c r="G22" s="1"/>
  <c r="Z29"/>
  <c r="L22" s="1"/>
  <c r="Z31"/>
  <c r="L23" s="1"/>
  <c r="Z30"/>
  <c r="L24" s="1"/>
  <c r="T28"/>
  <c r="T29"/>
  <c r="X30"/>
  <c r="J24" s="1"/>
  <c r="T31"/>
  <c r="F23" s="1"/>
  <c r="U31"/>
  <c r="G23" s="1"/>
  <c r="W28"/>
  <c r="X29"/>
  <c r="J22" s="1"/>
  <c r="Y29"/>
  <c r="X31"/>
  <c r="J23" s="1"/>
  <c r="W29"/>
  <c r="W30"/>
  <c r="I24" s="1"/>
  <c r="M119" i="4"/>
  <c r="M125" s="1"/>
  <c r="M124" s="1"/>
  <c r="M123" s="1"/>
  <c r="M109"/>
  <c r="M115" s="1"/>
  <c r="M114" s="1"/>
  <c r="M113" s="1"/>
  <c r="J95"/>
  <c r="J94" s="1"/>
  <c r="J93" s="1"/>
  <c r="G45"/>
  <c r="G44" s="1"/>
  <c r="G43" s="1"/>
  <c r="G29"/>
  <c r="J29" i="9" l="1"/>
  <c r="J33" s="1"/>
  <c r="K6" s="1"/>
  <c r="L10"/>
  <c r="K19"/>
  <c r="K29" s="1"/>
  <c r="I49" i="4"/>
  <c r="I55" s="1"/>
  <c r="I54" s="1"/>
  <c r="I53" s="1"/>
  <c r="G32" i="1"/>
  <c r="E22" i="8"/>
  <c r="K22"/>
  <c r="F22"/>
  <c r="I22"/>
  <c r="K89" i="4"/>
  <c r="K95"/>
  <c r="K94" s="1"/>
  <c r="K93" s="1"/>
  <c r="H39"/>
  <c r="H45" s="1"/>
  <c r="H44" s="1"/>
  <c r="H43" s="1"/>
  <c r="G35"/>
  <c r="G34" s="1"/>
  <c r="K33" i="9" l="1"/>
  <c r="L6" s="1"/>
  <c r="L19"/>
  <c r="L29"/>
  <c r="L33" s="1"/>
  <c r="J49" i="4"/>
  <c r="J55" s="1"/>
  <c r="J54" s="1"/>
  <c r="J53" s="1"/>
  <c r="G33"/>
  <c r="F29" i="1"/>
  <c r="F41"/>
  <c r="H32"/>
  <c r="I39" i="4"/>
  <c r="H29"/>
  <c r="D37" i="3"/>
  <c r="I37" s="1"/>
  <c r="I32" i="1" l="1"/>
  <c r="I45" i="4"/>
  <c r="I44" s="1"/>
  <c r="I43" s="1"/>
  <c r="H35"/>
  <c r="L15" i="5"/>
  <c r="K15"/>
  <c r="J15"/>
  <c r="I15"/>
  <c r="H15"/>
  <c r="G15"/>
  <c r="F15"/>
  <c r="E15"/>
  <c r="D15"/>
  <c r="C15"/>
  <c r="L14"/>
  <c r="K14"/>
  <c r="J14"/>
  <c r="I14"/>
  <c r="H14"/>
  <c r="G14"/>
  <c r="L13"/>
  <c r="K13"/>
  <c r="J13"/>
  <c r="I13"/>
  <c r="H13"/>
  <c r="G13"/>
  <c r="F13"/>
  <c r="E13"/>
  <c r="D13"/>
  <c r="C13"/>
  <c r="I39"/>
  <c r="H39"/>
  <c r="G39"/>
  <c r="F39"/>
  <c r="E39"/>
  <c r="D39"/>
  <c r="C39"/>
  <c r="D38"/>
  <c r="C38"/>
  <c r="L37"/>
  <c r="F37"/>
  <c r="E37"/>
  <c r="D37"/>
  <c r="C37"/>
  <c r="F36"/>
  <c r="E36"/>
  <c r="D36"/>
  <c r="C36"/>
  <c r="L35"/>
  <c r="K35"/>
  <c r="J35"/>
  <c r="I35"/>
  <c r="H35"/>
  <c r="G35"/>
  <c r="L34"/>
  <c r="K34"/>
  <c r="J34"/>
  <c r="I34"/>
  <c r="H34"/>
  <c r="G34"/>
  <c r="L30"/>
  <c r="K30"/>
  <c r="J30"/>
  <c r="I30"/>
  <c r="H30"/>
  <c r="G30"/>
  <c r="F30"/>
  <c r="E30"/>
  <c r="I29"/>
  <c r="H29"/>
  <c r="G29"/>
  <c r="F29"/>
  <c r="E29"/>
  <c r="D29"/>
  <c r="C29"/>
  <c r="D28"/>
  <c r="C28"/>
  <c r="L27"/>
  <c r="F27"/>
  <c r="E27"/>
  <c r="D27"/>
  <c r="C27"/>
  <c r="F26"/>
  <c r="E26"/>
  <c r="D26"/>
  <c r="C26"/>
  <c r="L25"/>
  <c r="K25"/>
  <c r="J25"/>
  <c r="I25"/>
  <c r="H25"/>
  <c r="G25"/>
  <c r="L24"/>
  <c r="K24"/>
  <c r="J24"/>
  <c r="I24"/>
  <c r="H24"/>
  <c r="G24"/>
  <c r="I42" i="1"/>
  <c r="H42"/>
  <c r="G42"/>
  <c r="F42"/>
  <c r="E42"/>
  <c r="D42"/>
  <c r="D40"/>
  <c r="L39"/>
  <c r="F39"/>
  <c r="E39"/>
  <c r="D39"/>
  <c r="F38"/>
  <c r="E38"/>
  <c r="D38"/>
  <c r="L37"/>
  <c r="K37"/>
  <c r="J37"/>
  <c r="I37"/>
  <c r="H37"/>
  <c r="G37"/>
  <c r="L36"/>
  <c r="K36"/>
  <c r="J36"/>
  <c r="I36"/>
  <c r="H36"/>
  <c r="G36"/>
  <c r="C40"/>
  <c r="C39"/>
  <c r="C38"/>
  <c r="I30"/>
  <c r="H30"/>
  <c r="G30"/>
  <c r="F30"/>
  <c r="E30"/>
  <c r="D30"/>
  <c r="D28"/>
  <c r="L27"/>
  <c r="F27"/>
  <c r="E27"/>
  <c r="D27"/>
  <c r="F26"/>
  <c r="E26"/>
  <c r="D26"/>
  <c r="L25"/>
  <c r="K25"/>
  <c r="J25"/>
  <c r="I25"/>
  <c r="H25"/>
  <c r="G25"/>
  <c r="L24"/>
  <c r="K24"/>
  <c r="J24"/>
  <c r="I24"/>
  <c r="H24"/>
  <c r="G24"/>
  <c r="C30"/>
  <c r="C28"/>
  <c r="C27"/>
  <c r="C26"/>
  <c r="K99" i="4"/>
  <c r="K105" s="1"/>
  <c r="C63"/>
  <c r="F59"/>
  <c r="F65" s="1"/>
  <c r="F151" s="1"/>
  <c r="C83"/>
  <c r="H79"/>
  <c r="H85" s="1"/>
  <c r="C73"/>
  <c r="H69"/>
  <c r="H75" s="1"/>
  <c r="C13"/>
  <c r="J32" i="1" l="1"/>
  <c r="J39" i="4"/>
  <c r="J45" s="1"/>
  <c r="J44" s="1"/>
  <c r="J43" s="1"/>
  <c r="H34"/>
  <c r="C103"/>
  <c r="K104" s="1"/>
  <c r="D15"/>
  <c r="F64"/>
  <c r="H84"/>
  <c r="H74"/>
  <c r="F25" i="3"/>
  <c r="F32"/>
  <c r="N38"/>
  <c r="O38" s="1"/>
  <c r="P38" s="1"/>
  <c r="F19"/>
  <c r="F31"/>
  <c r="I31" s="1"/>
  <c r="F24"/>
  <c r="K24" s="1"/>
  <c r="F23"/>
  <c r="K23" s="1"/>
  <c r="F18"/>
  <c r="F9"/>
  <c r="K9" s="1"/>
  <c r="F14"/>
  <c r="F17"/>
  <c r="F16"/>
  <c r="I16" s="1"/>
  <c r="J37"/>
  <c r="K37" s="1"/>
  <c r="L37" s="1"/>
  <c r="M37" s="1"/>
  <c r="N37" s="1"/>
  <c r="O37" s="1"/>
  <c r="P37" s="1"/>
  <c r="G36"/>
  <c r="H36" s="1"/>
  <c r="I36" s="1"/>
  <c r="G27"/>
  <c r="C14" i="1" s="1"/>
  <c r="F29" i="3"/>
  <c r="F30"/>
  <c r="F13"/>
  <c r="G13" s="1"/>
  <c r="H13" s="1"/>
  <c r="I13" s="1"/>
  <c r="E40" i="1" l="1"/>
  <c r="F150" i="4"/>
  <c r="I29"/>
  <c r="I35" s="1"/>
  <c r="G29" i="1"/>
  <c r="G41"/>
  <c r="L32"/>
  <c r="K32"/>
  <c r="D14" i="4"/>
  <c r="C24" i="5" s="1"/>
  <c r="H33" i="4"/>
  <c r="H30" i="3"/>
  <c r="I30" s="1"/>
  <c r="J30" s="1"/>
  <c r="K30" s="1"/>
  <c r="L30" s="1"/>
  <c r="M30" s="1"/>
  <c r="N30" s="1"/>
  <c r="O30" s="1"/>
  <c r="P30" s="1"/>
  <c r="L17"/>
  <c r="M17" s="1"/>
  <c r="N17" s="1"/>
  <c r="O17" s="1"/>
  <c r="P17" s="1"/>
  <c r="F15"/>
  <c r="O15" s="1"/>
  <c r="P15" s="1"/>
  <c r="N32"/>
  <c r="O32" s="1"/>
  <c r="P32" s="1"/>
  <c r="H29"/>
  <c r="I29" s="1"/>
  <c r="J29" s="1"/>
  <c r="K29" s="1"/>
  <c r="L29" s="1"/>
  <c r="M29" s="1"/>
  <c r="N29" s="1"/>
  <c r="O29" s="1"/>
  <c r="P29" s="1"/>
  <c r="I14"/>
  <c r="J14" s="1"/>
  <c r="K14" s="1"/>
  <c r="L14" s="1"/>
  <c r="M14" s="1"/>
  <c r="N14" s="1"/>
  <c r="O14" s="1"/>
  <c r="P14" s="1"/>
  <c r="O18"/>
  <c r="P18" s="1"/>
  <c r="O19"/>
  <c r="P19" s="1"/>
  <c r="O25"/>
  <c r="P25" s="1"/>
  <c r="J13"/>
  <c r="K13" s="1"/>
  <c r="L13" s="1"/>
  <c r="M13" s="1"/>
  <c r="N13" s="1"/>
  <c r="O13" s="1"/>
  <c r="P13" s="1"/>
  <c r="E38" i="5"/>
  <c r="H73" i="4"/>
  <c r="G26" i="5"/>
  <c r="G26" i="1"/>
  <c r="H83" i="4"/>
  <c r="G27" i="5"/>
  <c r="G27" i="1"/>
  <c r="G36" i="5"/>
  <c r="E28"/>
  <c r="E28" i="1"/>
  <c r="K103" i="4"/>
  <c r="J29" i="5"/>
  <c r="J30" i="1"/>
  <c r="G37" i="5"/>
  <c r="G39" i="1"/>
  <c r="J39" i="5"/>
  <c r="J42" i="1"/>
  <c r="G38"/>
  <c r="L99" i="4"/>
  <c r="F63"/>
  <c r="F149" s="1"/>
  <c r="G59"/>
  <c r="I79"/>
  <c r="I69"/>
  <c r="G34" i="3"/>
  <c r="C15" i="1" s="1"/>
  <c r="L24" i="3"/>
  <c r="M24" s="1"/>
  <c r="N24" s="1"/>
  <c r="O24" s="1"/>
  <c r="P24" s="1"/>
  <c r="H27"/>
  <c r="D14" i="1" s="1"/>
  <c r="H21" i="3"/>
  <c r="D13" i="1" s="1"/>
  <c r="G21" i="3"/>
  <c r="C13" i="1" s="1"/>
  <c r="J36" i="3"/>
  <c r="I40"/>
  <c r="H40"/>
  <c r="G40"/>
  <c r="C34" i="5" l="1"/>
  <c r="C36" i="1"/>
  <c r="C24"/>
  <c r="I34" i="4"/>
  <c r="H29" i="1" s="1"/>
  <c r="C16"/>
  <c r="C16" i="5"/>
  <c r="D16" i="1"/>
  <c r="D16" i="5"/>
  <c r="E16" i="1"/>
  <c r="E16" i="5"/>
  <c r="I85" i="4"/>
  <c r="L105"/>
  <c r="G65"/>
  <c r="I75"/>
  <c r="I74" s="1"/>
  <c r="H36" i="5" s="1"/>
  <c r="H34" i="3"/>
  <c r="D15" i="1" s="1"/>
  <c r="I27" i="3"/>
  <c r="E14" i="1" s="1"/>
  <c r="J16" i="3"/>
  <c r="I21"/>
  <c r="E13" i="1" s="1"/>
  <c r="J40" i="3"/>
  <c r="K36"/>
  <c r="G64" i="4" l="1"/>
  <c r="G150" s="1"/>
  <c r="G151"/>
  <c r="H41" i="1"/>
  <c r="I84" i="4"/>
  <c r="H27" i="5" s="1"/>
  <c r="L104" i="4"/>
  <c r="K30" i="1" s="1"/>
  <c r="I33" i="4"/>
  <c r="J29"/>
  <c r="F16" i="1"/>
  <c r="F16" i="5"/>
  <c r="J69" i="4"/>
  <c r="J75" s="1"/>
  <c r="J74" s="1"/>
  <c r="G63"/>
  <c r="G149" s="1"/>
  <c r="F28" i="1"/>
  <c r="F28" i="5"/>
  <c r="F38"/>
  <c r="I73" i="4"/>
  <c r="H26" i="1"/>
  <c r="H26" i="5"/>
  <c r="F40" i="1"/>
  <c r="H38"/>
  <c r="H59" i="4"/>
  <c r="I34" i="3"/>
  <c r="E15" i="1" s="1"/>
  <c r="J31" i="3"/>
  <c r="J27"/>
  <c r="F14" i="1" s="1"/>
  <c r="J21" i="3"/>
  <c r="F13" i="1" s="1"/>
  <c r="K16" i="3"/>
  <c r="K40"/>
  <c r="L36"/>
  <c r="K29" i="5" l="1"/>
  <c r="L103" i="4"/>
  <c r="M99"/>
  <c r="M105" s="1"/>
  <c r="M104" s="1"/>
  <c r="K39" i="5"/>
  <c r="K42" i="1"/>
  <c r="H37" i="5"/>
  <c r="H27" i="1"/>
  <c r="I83" i="4"/>
  <c r="H39" i="1"/>
  <c r="J35" i="4"/>
  <c r="J34" s="1"/>
  <c r="I29" i="1" s="1"/>
  <c r="C9" i="5"/>
  <c r="J79" i="4"/>
  <c r="J85" s="1"/>
  <c r="G16" i="1"/>
  <c r="G16" i="5"/>
  <c r="J73" i="4"/>
  <c r="I26" i="5"/>
  <c r="I26" i="1"/>
  <c r="I38"/>
  <c r="I36" i="5"/>
  <c r="H65" i="4"/>
  <c r="K69"/>
  <c r="K31" i="3"/>
  <c r="J34"/>
  <c r="F15" i="1" s="1"/>
  <c r="L23" i="3"/>
  <c r="K27"/>
  <c r="G14" i="1" s="1"/>
  <c r="L9" i="3"/>
  <c r="K21"/>
  <c r="G13" i="1" s="1"/>
  <c r="L16" i="3"/>
  <c r="M36"/>
  <c r="L40"/>
  <c r="H151" i="4" l="1"/>
  <c r="G26" i="8" s="1"/>
  <c r="L30" i="1"/>
  <c r="M103" i="4"/>
  <c r="L29" i="5"/>
  <c r="L42" i="1"/>
  <c r="L39" i="5"/>
  <c r="I41" i="1"/>
  <c r="J84" i="4"/>
  <c r="H64"/>
  <c r="H150" s="1"/>
  <c r="J33"/>
  <c r="H16" i="1"/>
  <c r="H16" i="5"/>
  <c r="K75" i="4"/>
  <c r="L31" i="3"/>
  <c r="K34"/>
  <c r="G15" i="1" s="1"/>
  <c r="L27" i="3"/>
  <c r="H14" i="1" s="1"/>
  <c r="M23" i="3"/>
  <c r="M9"/>
  <c r="L21"/>
  <c r="H13" i="1" s="1"/>
  <c r="M16" i="3"/>
  <c r="M40"/>
  <c r="N36"/>
  <c r="I59" i="4" l="1"/>
  <c r="G38" i="5"/>
  <c r="G41" s="1"/>
  <c r="G28" i="1"/>
  <c r="G28" i="5"/>
  <c r="G31" s="1"/>
  <c r="H63" i="4"/>
  <c r="H149" s="1"/>
  <c r="I39" i="1"/>
  <c r="J83" i="4"/>
  <c r="I27" i="1"/>
  <c r="I37" i="5"/>
  <c r="I27"/>
  <c r="K79" i="4"/>
  <c r="K85" s="1"/>
  <c r="L19" i="7"/>
  <c r="G29" i="8"/>
  <c r="G31" s="1"/>
  <c r="K74" i="4"/>
  <c r="J36" i="5" s="1"/>
  <c r="G40" i="1"/>
  <c r="G45" s="1"/>
  <c r="I16"/>
  <c r="I16" i="5"/>
  <c r="I65" i="4"/>
  <c r="M31" i="3"/>
  <c r="L34"/>
  <c r="H15" i="1" s="1"/>
  <c r="N23" i="3"/>
  <c r="M27"/>
  <c r="I14" i="1" s="1"/>
  <c r="N9" i="3"/>
  <c r="N16"/>
  <c r="M21"/>
  <c r="I13" i="1" s="1"/>
  <c r="N40" i="3"/>
  <c r="O36"/>
  <c r="I151" i="4" l="1"/>
  <c r="H26" i="8" s="1"/>
  <c r="J26" i="5"/>
  <c r="L69" i="4"/>
  <c r="L75" s="1"/>
  <c r="L74" s="1"/>
  <c r="G43" i="5"/>
  <c r="J26" i="1"/>
  <c r="K73" i="4"/>
  <c r="K84"/>
  <c r="J38" i="1"/>
  <c r="I64" i="4"/>
  <c r="I150" s="1"/>
  <c r="J16" i="1"/>
  <c r="J16" i="5"/>
  <c r="N31" i="3"/>
  <c r="M34"/>
  <c r="I15" i="1" s="1"/>
  <c r="O23" i="3"/>
  <c r="N27"/>
  <c r="J14" i="1" s="1"/>
  <c r="O9" i="3"/>
  <c r="O16"/>
  <c r="N21"/>
  <c r="J13" i="1" s="1"/>
  <c r="P36" i="3"/>
  <c r="P40" s="1"/>
  <c r="O40"/>
  <c r="K26" i="5" l="1"/>
  <c r="L73" i="4"/>
  <c r="K36" i="5"/>
  <c r="M69" i="4"/>
  <c r="M75" s="1"/>
  <c r="I63"/>
  <c r="I149" s="1"/>
  <c r="K38" i="1"/>
  <c r="H28" i="5"/>
  <c r="H31" s="1"/>
  <c r="H28" i="1"/>
  <c r="H40"/>
  <c r="H45" s="1"/>
  <c r="J59" i="4"/>
  <c r="J65" s="1"/>
  <c r="K26" i="1"/>
  <c r="J39"/>
  <c r="J27" i="5"/>
  <c r="J37"/>
  <c r="L79" i="4"/>
  <c r="L85" s="1"/>
  <c r="K83"/>
  <c r="J27" i="1"/>
  <c r="M19" i="7"/>
  <c r="H29" i="8"/>
  <c r="H31" s="1"/>
  <c r="H38" i="5"/>
  <c r="H41" s="1"/>
  <c r="K16" i="1"/>
  <c r="K16" i="5"/>
  <c r="L16" i="1"/>
  <c r="L16" i="5"/>
  <c r="O31" i="3"/>
  <c r="N34"/>
  <c r="J15" i="1" s="1"/>
  <c r="P23" i="3"/>
  <c r="P27" s="1"/>
  <c r="L14" i="1" s="1"/>
  <c r="O27" i="3"/>
  <c r="K14" i="1" s="1"/>
  <c r="P9" i="3"/>
  <c r="P16"/>
  <c r="P21" s="1"/>
  <c r="L13" i="1" s="1"/>
  <c r="O21" i="3"/>
  <c r="K13" i="1" s="1"/>
  <c r="J151" i="4" l="1"/>
  <c r="I26" i="8" s="1"/>
  <c r="H43" i="5"/>
  <c r="L84" i="4"/>
  <c r="J64"/>
  <c r="J150" s="1"/>
  <c r="M74"/>
  <c r="L26" i="5" s="1"/>
  <c r="P31" i="3"/>
  <c r="P34" s="1"/>
  <c r="L15" i="1" s="1"/>
  <c r="O34" i="3"/>
  <c r="K15" i="1" s="1"/>
  <c r="M73" i="4" l="1"/>
  <c r="L38" i="1"/>
  <c r="K59" i="4"/>
  <c r="K65" s="1"/>
  <c r="I40" i="1"/>
  <c r="I45" s="1"/>
  <c r="I28"/>
  <c r="I28" i="5"/>
  <c r="I31" s="1"/>
  <c r="J63" i="4"/>
  <c r="J149" s="1"/>
  <c r="L26" i="1"/>
  <c r="K27"/>
  <c r="K27" i="5"/>
  <c r="K37"/>
  <c r="L83" i="4"/>
  <c r="K39" i="1"/>
  <c r="N19" i="7"/>
  <c r="I29" i="8"/>
  <c r="I31" s="1"/>
  <c r="L36" i="5"/>
  <c r="I38"/>
  <c r="I41" s="1"/>
  <c r="D13" i="4"/>
  <c r="E9"/>
  <c r="K151" l="1"/>
  <c r="J26" i="8" s="1"/>
  <c r="I43" i="5"/>
  <c r="K64" i="4"/>
  <c r="E15"/>
  <c r="O19" i="7" l="1"/>
  <c r="J29" i="8"/>
  <c r="J31" s="1"/>
  <c r="J38" i="5"/>
  <c r="J41" s="1"/>
  <c r="K150" i="4"/>
  <c r="L59"/>
  <c r="L65" s="1"/>
  <c r="J40" i="1"/>
  <c r="J45" s="1"/>
  <c r="L64" i="4"/>
  <c r="L150" s="1"/>
  <c r="J28" i="5"/>
  <c r="J31" s="1"/>
  <c r="K63" i="4"/>
  <c r="K149" s="1"/>
  <c r="J28" i="1"/>
  <c r="E14" i="4"/>
  <c r="F9" s="1"/>
  <c r="F15" s="1"/>
  <c r="K28" i="1" l="1"/>
  <c r="L151" i="4"/>
  <c r="K26" i="8" s="1"/>
  <c r="J43" i="5"/>
  <c r="K28"/>
  <c r="K31" s="1"/>
  <c r="K40" i="1"/>
  <c r="K45" s="1"/>
  <c r="K38" i="5"/>
  <c r="K41" s="1"/>
  <c r="L63" i="4"/>
  <c r="L149" s="1"/>
  <c r="M59"/>
  <c r="M65" s="1"/>
  <c r="D24" i="1"/>
  <c r="E13" i="4"/>
  <c r="D36" i="1"/>
  <c r="F14" i="4"/>
  <c r="D34" i="5"/>
  <c r="D24"/>
  <c r="P19" i="7" l="1"/>
  <c r="K29" i="8"/>
  <c r="K31" s="1"/>
  <c r="M151" i="4"/>
  <c r="L26" i="8" s="1"/>
  <c r="K43" i="5"/>
  <c r="M64" i="4"/>
  <c r="L28" i="5"/>
  <c r="L31" s="1"/>
  <c r="E24"/>
  <c r="E36" i="1"/>
  <c r="F13" i="4"/>
  <c r="G9"/>
  <c r="G15" s="1"/>
  <c r="E34" i="5"/>
  <c r="E24" i="1"/>
  <c r="Q19" i="7" l="1"/>
  <c r="L29" i="8"/>
  <c r="L31" s="1"/>
  <c r="L40" i="1"/>
  <c r="L45" s="1"/>
  <c r="M150" i="4"/>
  <c r="L38" i="5"/>
  <c r="L41" s="1"/>
  <c r="L43" s="1"/>
  <c r="L28" i="1"/>
  <c r="M63" i="4"/>
  <c r="M149" s="1"/>
  <c r="G14"/>
  <c r="G13" l="1"/>
  <c r="F24" i="1"/>
  <c r="F34" i="5"/>
  <c r="F36" i="1"/>
  <c r="F24" i="5"/>
  <c r="D42" i="8" l="1"/>
  <c r="E42"/>
  <c r="C19" i="4"/>
  <c r="C23" s="1"/>
  <c r="D19" l="1"/>
  <c r="D25" s="1"/>
  <c r="C26" i="8" s="1"/>
  <c r="F8" i="3"/>
  <c r="G8" s="1"/>
  <c r="G42" s="1"/>
  <c r="C35" i="8" s="1"/>
  <c r="C43" s="1"/>
  <c r="H19" i="7" l="1"/>
  <c r="C29" i="8"/>
  <c r="G11" i="3"/>
  <c r="H8"/>
  <c r="D24" i="4"/>
  <c r="H11" i="3" l="1"/>
  <c r="I8"/>
  <c r="H18" i="7"/>
  <c r="C31" i="8"/>
  <c r="C45"/>
  <c r="E19" i="4"/>
  <c r="C37" i="1"/>
  <c r="C45" s="1"/>
  <c r="C25" i="5"/>
  <c r="C31" s="1"/>
  <c r="D23" i="4"/>
  <c r="C25" i="1"/>
  <c r="C33" s="1"/>
  <c r="C35" i="5"/>
  <c r="C41" s="1"/>
  <c r="H42" i="3"/>
  <c r="D35" i="8" s="1"/>
  <c r="C12" i="5"/>
  <c r="C17" s="1"/>
  <c r="C19" s="1"/>
  <c r="C12" i="1"/>
  <c r="C17" s="1"/>
  <c r="E25" i="4" l="1"/>
  <c r="J8" i="3"/>
  <c r="J42" s="1"/>
  <c r="F35" i="8" s="1"/>
  <c r="I11" i="3"/>
  <c r="C9" i="1"/>
  <c r="D12" i="5"/>
  <c r="D17" s="1"/>
  <c r="D12" i="1"/>
  <c r="D17" s="1"/>
  <c r="C9" i="9"/>
  <c r="C47" i="1"/>
  <c r="C43" i="5"/>
  <c r="C45" s="1"/>
  <c r="I42" i="3"/>
  <c r="E35" i="8" s="1"/>
  <c r="C20" i="9" l="1"/>
  <c r="C11"/>
  <c r="C18"/>
  <c r="D26" i="8"/>
  <c r="E24" i="4"/>
  <c r="E12" i="1"/>
  <c r="E17" s="1"/>
  <c r="E12" i="5"/>
  <c r="E17" s="1"/>
  <c r="K8" i="3"/>
  <c r="K42"/>
  <c r="J11"/>
  <c r="C19" i="1"/>
  <c r="H5" i="7"/>
  <c r="H6"/>
  <c r="H22" l="1"/>
  <c r="H23"/>
  <c r="C28" i="9"/>
  <c r="C30" s="1"/>
  <c r="C22"/>
  <c r="K11" i="3"/>
  <c r="L8"/>
  <c r="L42"/>
  <c r="E23" i="4"/>
  <c r="D25" i="1"/>
  <c r="D25" i="5"/>
  <c r="D31" s="1"/>
  <c r="D37" i="1"/>
  <c r="D45" s="1"/>
  <c r="F19" i="4"/>
  <c r="D35" i="5"/>
  <c r="D41" s="1"/>
  <c r="I19" i="7"/>
  <c r="D29" i="8"/>
  <c r="G35"/>
  <c r="L18" i="7"/>
  <c r="C49" i="1"/>
  <c r="F12" i="5"/>
  <c r="F17" s="1"/>
  <c r="F12" i="1"/>
  <c r="F17" s="1"/>
  <c r="H9" i="7"/>
  <c r="C32" i="9" l="1"/>
  <c r="D43" i="5"/>
  <c r="M18" i="7"/>
  <c r="H35" i="8"/>
  <c r="D31"/>
  <c r="I18" i="7"/>
  <c r="L11" i="3"/>
  <c r="M8"/>
  <c r="M42" s="1"/>
  <c r="H10" i="7"/>
  <c r="F25" i="4"/>
  <c r="G12" i="5"/>
  <c r="G17" s="1"/>
  <c r="G12" i="1"/>
  <c r="G17" s="1"/>
  <c r="D5" i="9" l="1"/>
  <c r="D7" s="1"/>
  <c r="C34"/>
  <c r="I35" i="8"/>
  <c r="N18" i="7"/>
  <c r="D6" i="5"/>
  <c r="E26" i="8"/>
  <c r="F24" i="4"/>
  <c r="H12" i="1"/>
  <c r="H17" s="1"/>
  <c r="H12" i="5"/>
  <c r="H17" s="1"/>
  <c r="N8" i="3"/>
  <c r="N42" s="1"/>
  <c r="M11"/>
  <c r="I12" i="1" l="1"/>
  <c r="I17" s="1"/>
  <c r="I12" i="5"/>
  <c r="I17" s="1"/>
  <c r="O18" i="7"/>
  <c r="J35" i="8"/>
  <c r="J19" i="7"/>
  <c r="E29" i="8"/>
  <c r="D9" i="5"/>
  <c r="D19" s="1"/>
  <c r="D45" s="1"/>
  <c r="O8" i="3"/>
  <c r="O42" s="1"/>
  <c r="N11"/>
  <c r="F23" i="4"/>
  <c r="E25" i="5"/>
  <c r="E31" s="1"/>
  <c r="E25" i="1"/>
  <c r="E37"/>
  <c r="E45" s="1"/>
  <c r="G19" i="4"/>
  <c r="E35" i="5"/>
  <c r="E41" s="1"/>
  <c r="P18" i="7" l="1"/>
  <c r="K35" i="8"/>
  <c r="O11" i="3"/>
  <c r="P8"/>
  <c r="P11" s="1"/>
  <c r="J18" i="7"/>
  <c r="E31" i="8"/>
  <c r="G25" i="4"/>
  <c r="J12" i="1"/>
  <c r="J17" s="1"/>
  <c r="J12" i="5"/>
  <c r="J17" s="1"/>
  <c r="E43"/>
  <c r="P42" i="3" l="1"/>
  <c r="Q18" i="7" s="1"/>
  <c r="E6" i="5"/>
  <c r="F26" i="8"/>
  <c r="G24" i="4"/>
  <c r="L12" i="5"/>
  <c r="L17" s="1"/>
  <c r="L12" i="1"/>
  <c r="L17" s="1"/>
  <c r="K12"/>
  <c r="K17" s="1"/>
  <c r="K12" i="5"/>
  <c r="K17" s="1"/>
  <c r="L35" i="8" l="1"/>
  <c r="F29"/>
  <c r="K19" i="7"/>
  <c r="E9" i="5"/>
  <c r="E19" s="1"/>
  <c r="E45" s="1"/>
  <c r="F25" i="1"/>
  <c r="F25" i="5"/>
  <c r="F31" s="1"/>
  <c r="G23" i="4"/>
  <c r="F37" i="1"/>
  <c r="F45" s="1"/>
  <c r="F35" i="5"/>
  <c r="F41" s="1"/>
  <c r="F43" l="1"/>
  <c r="K18" i="7"/>
  <c r="F31" i="8"/>
  <c r="F6" i="5" l="1"/>
  <c r="F9" l="1"/>
  <c r="F19" s="1"/>
  <c r="F45" s="1"/>
  <c r="G6"/>
  <c r="G9" l="1"/>
  <c r="G19" s="1"/>
  <c r="G45" s="1"/>
  <c r="H6"/>
  <c r="I6" l="1"/>
  <c r="H9"/>
  <c r="H19" s="1"/>
  <c r="H45" s="1"/>
  <c r="I9" l="1"/>
  <c r="I19" s="1"/>
  <c r="I45" s="1"/>
  <c r="J6"/>
  <c r="K6" l="1"/>
  <c r="J9"/>
  <c r="J19" s="1"/>
  <c r="J45" s="1"/>
  <c r="L6" l="1"/>
  <c r="L9" s="1"/>
  <c r="L19" s="1"/>
  <c r="L45" s="1"/>
  <c r="K9"/>
  <c r="K19" s="1"/>
  <c r="K45" s="1"/>
  <c r="H33" i="1" l="1"/>
  <c r="H47" s="1"/>
  <c r="K33"/>
  <c r="K47" s="1"/>
  <c r="F33"/>
  <c r="J33"/>
  <c r="E33"/>
  <c r="E47" s="1"/>
  <c r="G33"/>
  <c r="I33"/>
  <c r="J41" i="8"/>
  <c r="J43" s="1"/>
  <c r="J45" s="1"/>
  <c r="K41"/>
  <c r="K43"/>
  <c r="K45" s="1"/>
  <c r="L41"/>
  <c r="L43" s="1"/>
  <c r="L45" s="1"/>
  <c r="L33" i="1"/>
  <c r="L47" s="1"/>
  <c r="F41" i="8"/>
  <c r="F43" s="1"/>
  <c r="F45" s="1"/>
  <c r="G41"/>
  <c r="G43" s="1"/>
  <c r="G45" s="1"/>
  <c r="H41"/>
  <c r="H43" s="1"/>
  <c r="H45" s="1"/>
  <c r="I41"/>
  <c r="I43" s="1"/>
  <c r="I45" s="1"/>
  <c r="H9" i="9" l="1"/>
  <c r="H20" s="1"/>
  <c r="J9"/>
  <c r="J11" s="1"/>
  <c r="I47" i="1"/>
  <c r="G47"/>
  <c r="K9" i="9"/>
  <c r="G9"/>
  <c r="I9"/>
  <c r="F9"/>
  <c r="L9"/>
  <c r="J47" i="1"/>
  <c r="H11" i="9"/>
  <c r="F47" i="1"/>
  <c r="M22" i="7" l="1"/>
  <c r="M23"/>
  <c r="H18" i="9"/>
  <c r="H22" s="1"/>
  <c r="H28" s="1"/>
  <c r="H30" s="1"/>
  <c r="J20"/>
  <c r="J18"/>
  <c r="I20"/>
  <c r="I18"/>
  <c r="I11"/>
  <c r="K11"/>
  <c r="K20"/>
  <c r="K18"/>
  <c r="F11"/>
  <c r="F20"/>
  <c r="F18"/>
  <c r="L18"/>
  <c r="L11"/>
  <c r="L20"/>
  <c r="G11"/>
  <c r="G18"/>
  <c r="G20"/>
  <c r="K22" i="7" l="1"/>
  <c r="K23"/>
  <c r="L23"/>
  <c r="L22"/>
  <c r="O22"/>
  <c r="O23"/>
  <c r="P23"/>
  <c r="P22"/>
  <c r="N23"/>
  <c r="N22"/>
  <c r="Q23"/>
  <c r="Q22"/>
  <c r="J22" i="9"/>
  <c r="J28" s="1"/>
  <c r="J30" s="1"/>
  <c r="G22"/>
  <c r="G28" s="1"/>
  <c r="G30" s="1"/>
  <c r="F22"/>
  <c r="F28" s="1"/>
  <c r="F30" s="1"/>
  <c r="I22"/>
  <c r="I28" s="1"/>
  <c r="I30" s="1"/>
  <c r="K22"/>
  <c r="K28" s="1"/>
  <c r="K30" s="1"/>
  <c r="L22"/>
  <c r="L28" s="1"/>
  <c r="L30" s="1"/>
  <c r="D33" i="1"/>
  <c r="E41" i="8"/>
  <c r="E43" s="1"/>
  <c r="E45" s="1"/>
  <c r="D41"/>
  <c r="D43"/>
  <c r="D45" s="1"/>
  <c r="D47" i="1" l="1"/>
  <c r="E9" i="9"/>
  <c r="D9"/>
  <c r="D20" l="1"/>
  <c r="D18"/>
  <c r="D11"/>
  <c r="E11"/>
  <c r="E20"/>
  <c r="E18"/>
  <c r="D6" i="1" l="1"/>
  <c r="J23" i="7"/>
  <c r="J22"/>
  <c r="I23"/>
  <c r="I22"/>
  <c r="E6" i="1"/>
  <c r="D9"/>
  <c r="E22" i="9"/>
  <c r="E28" s="1"/>
  <c r="E30" s="1"/>
  <c r="D22"/>
  <c r="D28" s="1"/>
  <c r="D19" i="1" l="1"/>
  <c r="I5" i="7"/>
  <c r="I6"/>
  <c r="F6" i="1"/>
  <c r="E9"/>
  <c r="D30" i="9"/>
  <c r="D32"/>
  <c r="D34" l="1"/>
  <c r="E5"/>
  <c r="E19" i="1"/>
  <c r="J17" i="7" s="1"/>
  <c r="J5"/>
  <c r="J6"/>
  <c r="G6" i="1"/>
  <c r="F9"/>
  <c r="I17" i="7"/>
  <c r="I9"/>
  <c r="D49" i="1"/>
  <c r="I13" i="7"/>
  <c r="J13"/>
  <c r="E7" i="9"/>
  <c r="E32"/>
  <c r="E34" l="1"/>
  <c r="F5"/>
  <c r="F7" s="1"/>
  <c r="H6" i="1"/>
  <c r="G9"/>
  <c r="F19"/>
  <c r="K5" i="7"/>
  <c r="K6"/>
  <c r="I10"/>
  <c r="I14"/>
  <c r="E49" i="1"/>
  <c r="J14" i="7" s="1"/>
  <c r="J9"/>
  <c r="K13"/>
  <c r="K17"/>
  <c r="F32" i="9"/>
  <c r="F34" l="1"/>
  <c r="G5"/>
  <c r="G7" s="1"/>
  <c r="F49" i="1"/>
  <c r="K14" i="7" s="1"/>
  <c r="K9"/>
  <c r="G19" i="1"/>
  <c r="L6" i="7"/>
  <c r="L5"/>
  <c r="J10"/>
  <c r="I6" i="1"/>
  <c r="H9"/>
  <c r="G32" i="9"/>
  <c r="G34" l="1"/>
  <c r="H5"/>
  <c r="G49" i="1"/>
  <c r="L9" i="7"/>
  <c r="H19" i="1"/>
  <c r="M13" i="7" s="1"/>
  <c r="M6"/>
  <c r="M5"/>
  <c r="J6" i="1"/>
  <c r="I9"/>
  <c r="K10" i="7"/>
  <c r="L14"/>
  <c r="L17"/>
  <c r="L13"/>
  <c r="H32" i="9"/>
  <c r="H7"/>
  <c r="H34" l="1"/>
  <c r="I5"/>
  <c r="I32" s="1"/>
  <c r="M17" i="7"/>
  <c r="K6" i="1"/>
  <c r="J9"/>
  <c r="H49"/>
  <c r="M10" i="7" s="1"/>
  <c r="M9"/>
  <c r="N6"/>
  <c r="I19" i="1"/>
  <c r="N17" i="7" s="1"/>
  <c r="N5"/>
  <c r="L10"/>
  <c r="I7" i="9"/>
  <c r="I34" l="1"/>
  <c r="J5"/>
  <c r="J32" s="1"/>
  <c r="N13" i="7"/>
  <c r="M14"/>
  <c r="L6" i="1"/>
  <c r="L9" s="1"/>
  <c r="K9"/>
  <c r="J19"/>
  <c r="O17" i="7" s="1"/>
  <c r="O6"/>
  <c r="O5"/>
  <c r="N9"/>
  <c r="I49" i="1"/>
  <c r="J7" i="9"/>
  <c r="J34" l="1"/>
  <c r="K5"/>
  <c r="O13" i="7"/>
  <c r="J49" i="1"/>
  <c r="O14" i="7" s="1"/>
  <c r="O9"/>
  <c r="P6"/>
  <c r="P5"/>
  <c r="K19" i="1"/>
  <c r="N14" i="7"/>
  <c r="N10"/>
  <c r="L19" i="1"/>
  <c r="Q6" i="7"/>
  <c r="Q5"/>
  <c r="K7" i="9"/>
  <c r="K32"/>
  <c r="K34" l="1"/>
  <c r="L5"/>
  <c r="L7" s="1"/>
  <c r="P17" i="7"/>
  <c r="Q13"/>
  <c r="K49" i="1"/>
  <c r="P9" i="7"/>
  <c r="Q17"/>
  <c r="Q9"/>
  <c r="L49" i="1"/>
  <c r="Q10" i="7" s="1"/>
  <c r="O10"/>
  <c r="P13"/>
  <c r="L32" i="9" l="1"/>
  <c r="L34" s="1"/>
  <c r="P10" i="7"/>
  <c r="Q14"/>
  <c r="P14"/>
</calcChain>
</file>

<file path=xl/comments1.xml><?xml version="1.0" encoding="utf-8"?>
<comments xmlns="http://schemas.openxmlformats.org/spreadsheetml/2006/main">
  <authors>
    <author>Jeff Tranel</author>
  </authors>
  <commentList>
    <comment ref="B6" authorId="0">
      <text>
        <r>
          <rPr>
            <sz val="9"/>
            <color indexed="81"/>
            <rFont val="Tahoma"/>
            <family val="2"/>
          </rPr>
          <t>Cash in Year 1 = inputted.
Cash in Year 2-10 = Cash from previous year + "Net Cash Farm Income From Operations" for current year - cash used for down payments {the actual formula adds "cash used for down payments" since it is a negative number in the income statement.</t>
        </r>
      </text>
    </comment>
  </commentList>
</comments>
</file>

<file path=xl/comments2.xml><?xml version="1.0" encoding="utf-8"?>
<comments xmlns="http://schemas.openxmlformats.org/spreadsheetml/2006/main">
  <authors>
    <author>home</author>
    <author>Jeff Tranel</author>
  </authors>
  <commentList>
    <comment ref="B7" authorId="0">
      <text>
        <r>
          <rPr>
            <sz val="9"/>
            <color indexed="81"/>
            <rFont val="Tahoma"/>
            <family val="2"/>
          </rPr>
          <t>See details in orange colored box below.</t>
        </r>
      </text>
    </comment>
    <comment ref="B38" authorId="1">
      <text>
        <r>
          <rPr>
            <sz val="9"/>
            <color indexed="81"/>
            <rFont val="Tahoma"/>
            <family val="2"/>
          </rPr>
          <t>Any ewes sold are valued at a price of $50 per head.
Any death loss is valued at $0 since they have a $0 book value. It is assumed that there will be no recapture of tax  depreciation.</t>
        </r>
      </text>
    </comment>
    <comment ref="B39" authorId="1">
      <text>
        <r>
          <rPr>
            <sz val="9"/>
            <color indexed="81"/>
            <rFont val="Tahoma"/>
            <family val="2"/>
          </rPr>
          <t>Any rams sold are valued at a price of $75 per head.
Any death loss is valued at $0 since they have a $0 book value. It is assumed that there will be no recapture of tax  depreciation.</t>
        </r>
      </text>
    </comment>
  </commentList>
</comments>
</file>

<file path=xl/sharedStrings.xml><?xml version="1.0" encoding="utf-8"?>
<sst xmlns="http://schemas.openxmlformats.org/spreadsheetml/2006/main" count="565" uniqueCount="261">
  <si>
    <t>Current Assets</t>
  </si>
  <si>
    <t>Cash</t>
  </si>
  <si>
    <t>Other</t>
  </si>
  <si>
    <t>Total Current Assets</t>
  </si>
  <si>
    <t>Non-Current Assets</t>
  </si>
  <si>
    <t>Land</t>
  </si>
  <si>
    <t>Hoop House</t>
  </si>
  <si>
    <t>Vehicles</t>
  </si>
  <si>
    <t>Breeding Sheep</t>
  </si>
  <si>
    <t>Buildings</t>
  </si>
  <si>
    <t>Total Non-Current Assets</t>
  </si>
  <si>
    <t>Current Liabilities</t>
  </si>
  <si>
    <t>Accounts Payable</t>
  </si>
  <si>
    <t>Current Portions of Debt Payments</t>
  </si>
  <si>
    <t>Bank (Hoop House)</t>
  </si>
  <si>
    <t>Joanie's Dad (Van)</t>
  </si>
  <si>
    <t>Property Taxes</t>
  </si>
  <si>
    <t>Total Current Liabilities</t>
  </si>
  <si>
    <t>Non-Current Liabilities</t>
  </si>
  <si>
    <t>Total Non-Current Liabilities</t>
  </si>
  <si>
    <t>Total Assets</t>
  </si>
  <si>
    <t>Total Liabilities</t>
  </si>
  <si>
    <t>Business Net Worth</t>
  </si>
  <si>
    <t xml:space="preserve">12/31/XX01  </t>
  </si>
  <si>
    <t xml:space="preserve">12/31/XX02  </t>
  </si>
  <si>
    <t xml:space="preserve">12/31/XX03  </t>
  </si>
  <si>
    <t xml:space="preserve">12/31/XX04  </t>
  </si>
  <si>
    <t xml:space="preserve">12/31/XX05  </t>
  </si>
  <si>
    <t xml:space="preserve">12/31/XX06  </t>
  </si>
  <si>
    <t xml:space="preserve">12/31/XX07  </t>
  </si>
  <si>
    <t xml:space="preserve">12/31/XX08  </t>
  </si>
  <si>
    <t xml:space="preserve">12/31/XX09  </t>
  </si>
  <si>
    <t xml:space="preserve">12/31/XX10  </t>
  </si>
  <si>
    <t>Item</t>
  </si>
  <si>
    <t>Total</t>
  </si>
  <si>
    <t>Years</t>
  </si>
  <si>
    <t>Of Life</t>
  </si>
  <si>
    <t>Van</t>
  </si>
  <si>
    <t>Breeding Livestock</t>
  </si>
  <si>
    <t>Shed</t>
  </si>
  <si>
    <t>Equipment</t>
  </si>
  <si>
    <t>Year</t>
  </si>
  <si>
    <t>Purchased</t>
  </si>
  <si>
    <t>XX01</t>
  </si>
  <si>
    <t>Home Place (10 acres)</t>
  </si>
  <si>
    <t>Miller Place (40 acres)</t>
  </si>
  <si>
    <t xml:space="preserve">Total  </t>
  </si>
  <si>
    <t xml:space="preserve">Cost  </t>
  </si>
  <si>
    <t xml:space="preserve">Annual  </t>
  </si>
  <si>
    <t xml:space="preserve">Depr.  </t>
  </si>
  <si>
    <t>Values (Net of Depreciation)</t>
  </si>
  <si>
    <t>Ram</t>
  </si>
  <si>
    <t>XX03</t>
  </si>
  <si>
    <t>Ewes (10)</t>
  </si>
  <si>
    <t>Cube Truck</t>
  </si>
  <si>
    <t>XX05</t>
  </si>
  <si>
    <t>XX06</t>
  </si>
  <si>
    <t>XX09</t>
  </si>
  <si>
    <t xml:space="preserve">Tractor (T100) with Loader </t>
  </si>
  <si>
    <t>Brush Hog</t>
  </si>
  <si>
    <t>Ram (Black-face)</t>
  </si>
  <si>
    <t>Dad's Farm (65 acres)</t>
  </si>
  <si>
    <t>XX08</t>
  </si>
  <si>
    <t>Shop/Lambing Shed (Dad's Place)</t>
  </si>
  <si>
    <t>Small Wagon</t>
  </si>
  <si>
    <r>
      <rPr>
        <b/>
        <sz val="10"/>
        <color theme="1"/>
        <rFont val="Calibri"/>
        <family val="2"/>
        <scheme val="minor"/>
      </rPr>
      <t>Year XX06</t>
    </r>
    <r>
      <rPr>
        <sz val="10"/>
        <color theme="1"/>
        <rFont val="Calibri"/>
        <family val="2"/>
        <scheme val="minor"/>
      </rPr>
      <t>: Purchased 1 ram @ $575.</t>
    </r>
  </si>
  <si>
    <t>Total Payment</t>
  </si>
  <si>
    <t>Interest Rate</t>
  </si>
  <si>
    <t>Principal Payment</t>
  </si>
  <si>
    <t>Interest Payment</t>
  </si>
  <si>
    <t>Current Period</t>
  </si>
  <si>
    <t>Total Years of Loan</t>
  </si>
  <si>
    <t>Credit Union (Cube Van)</t>
  </si>
  <si>
    <t>R3J Equipment (Tractor &amp; Brushhog)</t>
  </si>
  <si>
    <t>J &amp; S Miller (Land, 40 acres)</t>
  </si>
  <si>
    <t>Joanie's Dad &amp; Mother (Home Place)</t>
  </si>
  <si>
    <t>R3J Equipment (Tractor)</t>
  </si>
  <si>
    <t>Miller (Land)</t>
  </si>
  <si>
    <t>Joanie's Dad (Land &amp; Bldg)</t>
  </si>
  <si>
    <t>FARM BALANCE SHEET - Book Values</t>
  </si>
  <si>
    <t>Ewes (3)</t>
  </si>
  <si>
    <t>FARM BALANCE SHEET - Market Values</t>
  </si>
  <si>
    <t>DEPRECIATION SCHEDULE &amp; LIST OF NON-DEPRECIABLE ASSETS</t>
  </si>
  <si>
    <r>
      <rPr>
        <b/>
        <sz val="10"/>
        <color theme="1"/>
        <rFont val="Calibri"/>
        <family val="2"/>
        <scheme val="minor"/>
      </rPr>
      <t>Year XX05</t>
    </r>
    <r>
      <rPr>
        <sz val="10"/>
        <color theme="1"/>
        <rFont val="Calibri"/>
        <family val="2"/>
        <scheme val="minor"/>
      </rPr>
      <t>:  Purchased cube truck @ $25,000, tractor with loader @ $12,500, and brush hog @ $800.</t>
    </r>
  </si>
  <si>
    <r>
      <rPr>
        <b/>
        <sz val="10"/>
        <color theme="1"/>
        <rFont val="Calibri"/>
        <family val="2"/>
        <scheme val="minor"/>
      </rPr>
      <t>Year XX08</t>
    </r>
    <r>
      <rPr>
        <sz val="10"/>
        <color theme="1"/>
        <rFont val="Calibri"/>
        <family val="2"/>
        <scheme val="minor"/>
      </rPr>
      <t>:  Purchase Joanie's Dad's farm -- 65 acres @ $1000 and shop/lambing shed @ $14000.</t>
    </r>
  </si>
  <si>
    <t>Credit Union (Cube Truck)</t>
  </si>
  <si>
    <t xml:space="preserve">     Jack and Joanie started their "farming" business with two enterprises -- (1) flowers and (2) sheep. They started with a van (valued at $8,500) used to haul cut flowers to farmers' markets; a hoop house (valued at $720) used to grow flowers year-round; and a shed (valued at $675) used for the sheep. Further, they dedicated 10 acres (valued at $840 per acre) of their home place to their farming business.</t>
  </si>
  <si>
    <t xml:space="preserve">     By the fifth year of operation (Year XX05), the cut flower business continued to grow. In fact, Joanie's was able to secure a contract with a large hotel. They purchased a cube truck with refrigeration (valued at $25,000) to haul cut flowers the several miles to the hotel. Jack was becoming quite busy at work, so they purchased a tractor and loader (valued at $12,500) to move hay and do work around the farm. They also purchased a brush hog (valued at $800) for mowing ditch banks and other areas around the property.</t>
  </si>
  <si>
    <t xml:space="preserve">     In Year XX06, they sold the old ram and purchased a new ram for $750.</t>
  </si>
  <si>
    <t xml:space="preserve">     In Year XX08, Dad and Mom were ready to retire. Since they wanted to continue living near their grandchildren, Dad and Mom sold Jack and Joanie their pastureland (65 acres valued at $1,000 per acre) and the shop/lambing shed (valued at $14,000).</t>
  </si>
  <si>
    <t xml:space="preserve">     With all the pasture available to them in Year XX09, Jack and Joanie purchased 24 additional ewes (valued at $4,200). They sold their old ram and purchased a replacement ram for $575. They also purchased a high quality, black-faced ram (valued at $1,200) with the hopes they might raise a few lambs for 4-H projects. They also purchased a wagon to haul hay and other things around the farm.</t>
  </si>
  <si>
    <t xml:space="preserve">     The loans Jack and Joanie obtained to purchase the various assets are described in the "loans" worksheet.</t>
  </si>
  <si>
    <r>
      <rPr>
        <b/>
        <i/>
        <sz val="10"/>
        <color theme="1"/>
        <rFont val="Calibri"/>
        <family val="2"/>
        <scheme val="minor"/>
      </rPr>
      <t>Year XX03</t>
    </r>
    <r>
      <rPr>
        <i/>
        <sz val="10"/>
        <color theme="1"/>
        <rFont val="Calibri"/>
        <family val="2"/>
        <scheme val="minor"/>
      </rPr>
      <t>:  Purchased 10 ewes @ $200, 1 ram @ $500, and 40 acres @ $850 from Mr. Miller. Also, built a '12ft high X 26ft wide X 36ft long' feet green house with materials costing $5000.</t>
    </r>
  </si>
  <si>
    <t xml:space="preserve">     In Year XX03, they purchased a parcel of land, all pasture, (40 acres) from the Miller family for $34,000. Since they now had more land, they purchased an additional 10 head of ewes (valued at $2,000). They felt uncomfortable using the neighbor's ram, so they purchased a ram (valued at $500). Demand for their cut flowers continued to grow, so they purchased the materials to build a green house. After talking with Dad and their accountant, they decided to depreciate only the value of materials ($5,000) but not Jack's labor to build the green house.</t>
  </si>
  <si>
    <t>Cash Receipts</t>
  </si>
  <si>
    <t>Cash Expenses</t>
  </si>
  <si>
    <t>Depreciation</t>
  </si>
  <si>
    <t>Net Farm Income</t>
  </si>
  <si>
    <t>Flowers</t>
  </si>
  <si>
    <t>Sheep</t>
  </si>
  <si>
    <t>Seed &amp; Plants</t>
  </si>
  <si>
    <t>Fertilizer &amp; Chemicals</t>
  </si>
  <si>
    <t>Repairs &amp; Maintenance</t>
  </si>
  <si>
    <t>Fuel &amp; Lube</t>
  </si>
  <si>
    <t>Insurance</t>
  </si>
  <si>
    <t>Supplies</t>
  </si>
  <si>
    <t>Utilities</t>
  </si>
  <si>
    <t>Storage</t>
  </si>
  <si>
    <t>Taxes (R.E. &amp; Sales)</t>
  </si>
  <si>
    <t>Marketing/Vendor Fees</t>
  </si>
  <si>
    <t>Water</t>
  </si>
  <si>
    <t>Miscellaneous</t>
  </si>
  <si>
    <t>Changes in Inventory</t>
  </si>
  <si>
    <t>Changes in Payables</t>
  </si>
  <si>
    <t>Changes in Receivables</t>
  </si>
  <si>
    <t>Adjustments</t>
  </si>
  <si>
    <t>Net of Adjustments</t>
  </si>
  <si>
    <t>Number of Ewes</t>
  </si>
  <si>
    <t>Net Number of Lambs/Ewe</t>
  </si>
  <si>
    <t>Average Weight Per Lamb (lbs)</t>
  </si>
  <si>
    <t>Average Price Per Pound ($/lb)</t>
  </si>
  <si>
    <t>Total Depreciation</t>
  </si>
  <si>
    <t>Total Values</t>
  </si>
  <si>
    <r>
      <t xml:space="preserve">Note:  </t>
    </r>
    <r>
      <rPr>
        <i/>
        <sz val="10"/>
        <color theme="1"/>
        <rFont val="Calibri"/>
        <family val="2"/>
        <scheme val="minor"/>
      </rPr>
      <t>Depreciation is calculated using the "straight line" method -- cost divided by years of life. Mid-Year convention used in initial year.</t>
    </r>
  </si>
  <si>
    <t>Accounts Receivable</t>
  </si>
  <si>
    <t>Ewes</t>
  </si>
  <si>
    <t>Rams</t>
  </si>
  <si>
    <t>Purchases</t>
  </si>
  <si>
    <t>Sales</t>
  </si>
  <si>
    <t>Breeding Livestock Inventories &amp; Purchases/Sales Information</t>
  </si>
  <si>
    <t>Beginning Year Count</t>
  </si>
  <si>
    <t>Death Loss</t>
  </si>
  <si>
    <t>Year End Count</t>
  </si>
  <si>
    <t>Ewes (50)</t>
  </si>
  <si>
    <r>
      <rPr>
        <b/>
        <sz val="10"/>
        <color theme="1"/>
        <rFont val="Calibri"/>
        <family val="2"/>
        <scheme val="minor"/>
      </rPr>
      <t>Year XX09</t>
    </r>
    <r>
      <rPr>
        <sz val="10"/>
        <color theme="1"/>
        <rFont val="Calibri"/>
        <family val="2"/>
        <scheme val="minor"/>
      </rPr>
      <t>:  Purchased 50 ewes @ $175, 1 ram @ $575, 1 black-faced ram @ $1200, and small wagon @ $1200.</t>
    </r>
  </si>
  <si>
    <t>Bank (High Tunnel Greenhouse)</t>
  </si>
  <si>
    <t>Beginning Principal Balance</t>
  </si>
  <si>
    <t>Interest - Operating</t>
  </si>
  <si>
    <t>Feed Purchased</t>
  </si>
  <si>
    <t>Veterinary &amp; Medicines</t>
  </si>
  <si>
    <t>Livestock Supplies</t>
  </si>
  <si>
    <t>Interest - Fixed Payments</t>
  </si>
  <si>
    <t>Feed</t>
  </si>
  <si>
    <t>Number of Sheep</t>
  </si>
  <si>
    <t>Hay (lbs/day/hd)</t>
  </si>
  <si>
    <t>Days Per Year</t>
  </si>
  <si>
    <t>Hay Price ($/ton)</t>
  </si>
  <si>
    <t>Cost</t>
  </si>
  <si>
    <t>Supplies @ $1.25 per head</t>
  </si>
  <si>
    <t>Vet @ $7.50 per head</t>
  </si>
  <si>
    <t>INCOME STATEMENTS</t>
  </si>
  <si>
    <t>Values in blue colored font are entered in this table. Values in black colored font are calculated.</t>
  </si>
  <si>
    <t>Liquidity</t>
  </si>
  <si>
    <t>Solvency</t>
  </si>
  <si>
    <t>Profitability</t>
  </si>
  <si>
    <t>Financial Efficiency</t>
  </si>
  <si>
    <t>Repayment Capacity</t>
  </si>
  <si>
    <t>Current Ratio</t>
  </si>
  <si>
    <t>Working Capital</t>
  </si>
  <si>
    <t>Debt/Asset Ratio</t>
  </si>
  <si>
    <t>Equity/Asset Ratio</t>
  </si>
  <si>
    <t>Rate of Return on Assets</t>
  </si>
  <si>
    <t>Rate of Return on Equity</t>
  </si>
  <si>
    <t>Asset Turnover Ratio</t>
  </si>
  <si>
    <t>Operating Expense Ratio</t>
  </si>
  <si>
    <t>Interest Expense Ratio</t>
  </si>
  <si>
    <t>Term Debt &amp; Capital Lease Ratio</t>
  </si>
  <si>
    <t>Current Assets / Current Liabilities</t>
  </si>
  <si>
    <t>Total Liabilities / Total Assets</t>
  </si>
  <si>
    <t>Gross Income / Average Assets</t>
  </si>
  <si>
    <t>(Expenses - Interest - Depreciation) / Gross Income</t>
  </si>
  <si>
    <t>Interest / Gross Income</t>
  </si>
  <si>
    <t>&gt;1.5</t>
  </si>
  <si>
    <t>1.0-1.5</t>
  </si>
  <si>
    <t>&lt;1.0</t>
  </si>
  <si>
    <t>&lt;30%</t>
  </si>
  <si>
    <t>30% - 70%</t>
  </si>
  <si>
    <t>&gt;70%</t>
  </si>
  <si>
    <t>&gt;55%</t>
  </si>
  <si>
    <t>30% - 55%</t>
  </si>
  <si>
    <t>Depends on Operation Type</t>
  </si>
  <si>
    <t>&lt;70%</t>
  </si>
  <si>
    <t>70% - 85%</t>
  </si>
  <si>
    <t>&gt;85%</t>
  </si>
  <si>
    <t>&lt;10%</t>
  </si>
  <si>
    <t>10% - 20%</t>
  </si>
  <si>
    <t>&gt;20%</t>
  </si>
  <si>
    <t>(Net Income - Value Op. Labor&amp;Mgmt) / Average Net Worth</t>
  </si>
  <si>
    <t>(Net Income + Interest - Value of Op. Labor&amp;Mgmt) / Average Assets</t>
  </si>
  <si>
    <t>Capital Debt Repayment Capacity</t>
  </si>
  <si>
    <t>Net Income + Depr + Non-Farm Income - Family Living - Income Taxes + Term Interest</t>
  </si>
  <si>
    <t>(Net Income + Depr + Non-Farm Income - Family Living - Income Taxes + Term Interest) / Scheduled Payments</t>
  </si>
  <si>
    <t>&gt;5%</t>
  </si>
  <si>
    <t>1% - 5%</t>
  </si>
  <si>
    <t>&lt;1%</t>
  </si>
  <si>
    <t>&gt;10%</t>
  </si>
  <si>
    <t>5% - 10%</t>
  </si>
  <si>
    <t>&lt;5%</t>
  </si>
  <si>
    <t>Dollar Amount</t>
  </si>
  <si>
    <t>&gt;1.35</t>
  </si>
  <si>
    <t>1.10 - 1.35</t>
  </si>
  <si>
    <t>&lt;1.10</t>
  </si>
  <si>
    <t>Current Assets - Current Liabilities</t>
  </si>
  <si>
    <t>Equity / Total Assets</t>
  </si>
  <si>
    <t>Owner Withdrawals for Unpaid Operator's Labor and Management</t>
  </si>
  <si>
    <t>Cost of Asset</t>
  </si>
  <si>
    <t>Down Payment</t>
  </si>
  <si>
    <t>Cash (10 ewes)</t>
  </si>
  <si>
    <t>High Tunnel Greenhouse</t>
  </si>
  <si>
    <t>Cash (1 ram)</t>
  </si>
  <si>
    <t>Cash (small wagon)</t>
  </si>
  <si>
    <t>Totals</t>
  </si>
  <si>
    <t>Cost of Capital Purchases</t>
  </si>
  <si>
    <t>Down Payments</t>
  </si>
  <si>
    <t>Total Payments</t>
  </si>
  <si>
    <t>Total Principal Portion of Payments</t>
  </si>
  <si>
    <t>Total Interest Portion of Payments</t>
  </si>
  <si>
    <t>Other Feed @ $20.25 per head</t>
  </si>
  <si>
    <t>Labor - Daughters</t>
  </si>
  <si>
    <t>Labor - Other</t>
  </si>
  <si>
    <t>CAPITAL PURCHASES - LOANS &amp; CASH</t>
  </si>
  <si>
    <t>Earnings</t>
  </si>
  <si>
    <t>Contributions to the Business</t>
  </si>
  <si>
    <t>By the Owners</t>
  </si>
  <si>
    <t>Gifts to the Business by non-owners</t>
  </si>
  <si>
    <t>Family Living Withdrawals</t>
  </si>
  <si>
    <t>Changes in Value</t>
  </si>
  <si>
    <t>Net Cash Farm Income From Operations</t>
  </si>
  <si>
    <t>Cash Used for Down Payments</t>
  </si>
  <si>
    <t>Personal Consumption</t>
  </si>
  <si>
    <t>Changes in Capital Assets</t>
  </si>
  <si>
    <t>Total Earnings</t>
  </si>
  <si>
    <t>Total Contributions to the Business</t>
  </si>
  <si>
    <t>Net of Changes in Value</t>
  </si>
  <si>
    <t>Rule 1:</t>
  </si>
  <si>
    <t xml:space="preserve">Jack and Joanie plan to leave most earnings in the farm account so as to have cash for business growth. Yet, they would like to compensate Joanie for her labor and management. They decide that Joanie should receive 10% of net farm income (when positive). </t>
  </si>
  <si>
    <t>Personal Exempations</t>
  </si>
  <si>
    <t>Standard deductions</t>
  </si>
  <si>
    <t>Fed Tax Rate</t>
  </si>
  <si>
    <t>SE Tax</t>
  </si>
  <si>
    <t>State Tax Rate</t>
  </si>
  <si>
    <t>SE Tax on Net Farm Income (when positive)</t>
  </si>
  <si>
    <t>Income Tax on Total Earnings</t>
  </si>
  <si>
    <t xml:space="preserve">Jack and Joanie's Change in Owner Equity (Farm Plus Non-Farm) </t>
  </si>
  <si>
    <t>Beginning Net Worth - Total</t>
  </si>
  <si>
    <t>Beginning Net Worth - Farm</t>
  </si>
  <si>
    <t>Beginning Net Worth - Personal</t>
  </si>
  <si>
    <t>Ending Net Worth - Farm</t>
  </si>
  <si>
    <t>Ending Net Worth - Personal</t>
  </si>
  <si>
    <t>Ending Net Worth - Total</t>
  </si>
  <si>
    <t>Income &amp; SE Taxes - Farm</t>
  </si>
  <si>
    <t>Change in Owner Equity - Farm</t>
  </si>
  <si>
    <t>Change in Owner Equity - Personal</t>
  </si>
  <si>
    <t>Change in Owner Equity - Total</t>
  </si>
  <si>
    <t>Net Non-Farm Income</t>
  </si>
  <si>
    <t>Non-Farm Assets &amp; Liabilities</t>
  </si>
  <si>
    <t>Farm Assets &amp; Liabilities</t>
  </si>
  <si>
    <t>Distributions</t>
  </si>
  <si>
    <t>Total Distributions</t>
  </si>
  <si>
    <t>Bank (50 ewes)</t>
  </si>
  <si>
    <t>Bank (Sheep)</t>
  </si>
</sst>
</file>

<file path=xl/styles.xml><?xml version="1.0" encoding="utf-8"?>
<styleSheet xmlns="http://schemas.openxmlformats.org/spreadsheetml/2006/main">
  <numFmts count="1">
    <numFmt numFmtId="6" formatCode="&quot;$&quot;#,##0_);[Red]\(&quot;$&quot;#,##0\)"/>
  </numFmts>
  <fonts count="17">
    <font>
      <sz val="11"/>
      <color theme="1"/>
      <name val="Calibri"/>
      <family val="2"/>
      <scheme val="minor"/>
    </font>
    <font>
      <sz val="11"/>
      <color theme="1"/>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b/>
      <sz val="10"/>
      <color theme="1"/>
      <name val="Calibri"/>
      <family val="2"/>
      <scheme val="minor"/>
    </font>
    <font>
      <b/>
      <u/>
      <sz val="10"/>
      <color theme="1"/>
      <name val="Calibri"/>
      <family val="2"/>
      <scheme val="minor"/>
    </font>
    <font>
      <b/>
      <sz val="12"/>
      <color theme="1"/>
      <name val="Calibri"/>
      <family val="2"/>
      <scheme val="minor"/>
    </font>
    <font>
      <b/>
      <sz val="11"/>
      <color theme="1"/>
      <name val="Calibri"/>
      <family val="2"/>
      <scheme val="minor"/>
    </font>
    <font>
      <sz val="9"/>
      <color indexed="81"/>
      <name val="Tahoma"/>
      <family val="2"/>
    </font>
    <font>
      <sz val="11"/>
      <name val="Calibri"/>
      <family val="2"/>
      <scheme val="minor"/>
    </font>
    <font>
      <sz val="11"/>
      <color rgb="FF0000FF"/>
      <name val="Calibri"/>
      <family val="2"/>
      <scheme val="minor"/>
    </font>
    <font>
      <sz val="10"/>
      <name val="Calibri"/>
      <family val="2"/>
      <scheme val="minor"/>
    </font>
    <font>
      <sz val="10"/>
      <color rgb="FF0000FF"/>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70">
    <xf numFmtId="0" fontId="0" fillId="0" borderId="0" xfId="0"/>
    <xf numFmtId="0" fontId="2" fillId="0" borderId="0" xfId="0" applyFont="1" applyAlignment="1">
      <alignment horizontal="left" indent="2"/>
    </xf>
    <xf numFmtId="0" fontId="2" fillId="0" borderId="0" xfId="0" applyFont="1"/>
    <xf numFmtId="0" fontId="2" fillId="0" borderId="0" xfId="0" applyFont="1" applyAlignment="1">
      <alignment horizontal="center"/>
    </xf>
    <xf numFmtId="0" fontId="2" fillId="0" borderId="0" xfId="0" applyFont="1" applyAlignment="1">
      <alignment horizontal="right"/>
    </xf>
    <xf numFmtId="0" fontId="2" fillId="0" borderId="3" xfId="0" applyFont="1" applyBorder="1"/>
    <xf numFmtId="0" fontId="2" fillId="0" borderId="3" xfId="0" applyFont="1" applyBorder="1" applyAlignment="1">
      <alignment horizontal="center"/>
    </xf>
    <xf numFmtId="0" fontId="2" fillId="0" borderId="3" xfId="0" applyFont="1" applyBorder="1" applyAlignment="1">
      <alignment horizontal="right"/>
    </xf>
    <xf numFmtId="38" fontId="2" fillId="0" borderId="0" xfId="0" applyNumberFormat="1" applyFont="1"/>
    <xf numFmtId="38" fontId="2" fillId="0" borderId="0" xfId="0" applyNumberFormat="1" applyFont="1" applyAlignment="1">
      <alignment horizontal="right"/>
    </xf>
    <xf numFmtId="0" fontId="2" fillId="0" borderId="1" xfId="0" applyFont="1" applyBorder="1" applyAlignment="1">
      <alignment horizontal="left" indent="2"/>
    </xf>
    <xf numFmtId="0" fontId="2" fillId="0" borderId="1" xfId="0" applyFont="1" applyBorder="1" applyAlignment="1">
      <alignment horizontal="center"/>
    </xf>
    <xf numFmtId="38" fontId="2" fillId="0" borderId="1" xfId="0" applyNumberFormat="1" applyFont="1" applyBorder="1"/>
    <xf numFmtId="38" fontId="2" fillId="0" borderId="1" xfId="0" applyNumberFormat="1" applyFont="1" applyBorder="1" applyAlignment="1">
      <alignment horizontal="right"/>
    </xf>
    <xf numFmtId="0" fontId="2" fillId="0" borderId="0" xfId="0" applyFont="1" applyAlignment="1">
      <alignment horizontal="left"/>
    </xf>
    <xf numFmtId="0" fontId="3" fillId="0" borderId="0" xfId="0" applyFont="1" applyAlignment="1">
      <alignment horizontal="left"/>
    </xf>
    <xf numFmtId="6" fontId="2" fillId="0" borderId="0" xfId="0" applyNumberFormat="1" applyFont="1"/>
    <xf numFmtId="0" fontId="6" fillId="0" borderId="0" xfId="0" applyFont="1"/>
    <xf numFmtId="0" fontId="2" fillId="0" borderId="2" xfId="0" applyFont="1" applyBorder="1"/>
    <xf numFmtId="38" fontId="2" fillId="0" borderId="2" xfId="0" applyNumberFormat="1" applyFont="1" applyBorder="1"/>
    <xf numFmtId="0" fontId="2" fillId="0" borderId="0" xfId="0" applyFont="1" applyAlignment="1">
      <alignment horizontal="left" indent="4"/>
    </xf>
    <xf numFmtId="0" fontId="2" fillId="2" borderId="0" xfId="0" applyFont="1" applyFill="1"/>
    <xf numFmtId="38" fontId="2" fillId="2" borderId="0" xfId="0" applyNumberFormat="1" applyFont="1" applyFill="1"/>
    <xf numFmtId="0" fontId="2" fillId="0" borderId="0" xfId="0" applyFont="1" applyBorder="1" applyAlignment="1">
      <alignment horizontal="right"/>
    </xf>
    <xf numFmtId="0" fontId="2" fillId="2" borderId="0" xfId="0" applyFont="1" applyFill="1" applyAlignment="1">
      <alignment horizontal="left" indent="2"/>
    </xf>
    <xf numFmtId="0" fontId="2" fillId="2" borderId="0" xfId="0" applyFont="1" applyFill="1" applyAlignment="1">
      <alignment horizontal="center"/>
    </xf>
    <xf numFmtId="38" fontId="2" fillId="2" borderId="0" xfId="0" applyNumberFormat="1" applyFont="1" applyFill="1" applyAlignment="1">
      <alignment horizontal="right"/>
    </xf>
    <xf numFmtId="0" fontId="2" fillId="2" borderId="0" xfId="0" applyFont="1" applyFill="1" applyAlignment="1">
      <alignment horizontal="left"/>
    </xf>
    <xf numFmtId="0" fontId="7" fillId="3" borderId="0" xfId="0" applyFont="1" applyFill="1"/>
    <xf numFmtId="38" fontId="7" fillId="3" borderId="0" xfId="0" applyNumberFormat="1" applyFont="1" applyFill="1"/>
    <xf numFmtId="0" fontId="0" fillId="0" borderId="0" xfId="0" applyAlignment="1">
      <alignment wrapText="1"/>
    </xf>
    <xf numFmtId="0" fontId="0" fillId="0" borderId="0" xfId="0" applyAlignment="1">
      <alignment horizontal="left" indent="2"/>
    </xf>
    <xf numFmtId="0" fontId="0" fillId="0" borderId="1" xfId="0" applyBorder="1" applyAlignment="1">
      <alignment horizontal="left" indent="2"/>
    </xf>
    <xf numFmtId="0" fontId="0" fillId="0" borderId="0" xfId="0" applyAlignment="1">
      <alignment horizontal="left"/>
    </xf>
    <xf numFmtId="38" fontId="0" fillId="0" borderId="0" xfId="0" applyNumberFormat="1"/>
    <xf numFmtId="38" fontId="0" fillId="0" borderId="1" xfId="0" applyNumberFormat="1" applyBorder="1"/>
    <xf numFmtId="0" fontId="0" fillId="2" borderId="0" xfId="0" applyFill="1" applyAlignment="1">
      <alignment horizontal="left" indent="2"/>
    </xf>
    <xf numFmtId="38" fontId="0" fillId="2" borderId="0" xfId="0" applyNumberFormat="1" applyFill="1"/>
    <xf numFmtId="0" fontId="0" fillId="2" borderId="0" xfId="0" applyFill="1" applyBorder="1" applyAlignment="1">
      <alignment horizontal="left" indent="2"/>
    </xf>
    <xf numFmtId="0" fontId="2" fillId="5" borderId="3" xfId="0" applyFont="1" applyFill="1" applyBorder="1" applyAlignment="1">
      <alignment horizontal="right"/>
    </xf>
    <xf numFmtId="40" fontId="0" fillId="5" borderId="1" xfId="0" applyNumberFormat="1" applyFill="1" applyBorder="1"/>
    <xf numFmtId="0" fontId="0" fillId="5" borderId="4" xfId="0" applyFill="1" applyBorder="1"/>
    <xf numFmtId="0" fontId="2" fillId="5" borderId="5" xfId="0" applyFont="1" applyFill="1" applyBorder="1" applyAlignment="1">
      <alignment horizontal="right"/>
    </xf>
    <xf numFmtId="0" fontId="2" fillId="5" borderId="6" xfId="0" applyFont="1" applyFill="1" applyBorder="1" applyAlignment="1">
      <alignment horizontal="right"/>
    </xf>
    <xf numFmtId="0" fontId="0" fillId="5" borderId="7" xfId="0" applyFill="1" applyBorder="1"/>
    <xf numFmtId="38" fontId="0" fillId="5" borderId="0" xfId="0" applyNumberFormat="1" applyFill="1" applyBorder="1"/>
    <xf numFmtId="38" fontId="0" fillId="5" borderId="8" xfId="0" applyNumberFormat="1" applyFill="1" applyBorder="1"/>
    <xf numFmtId="0" fontId="0" fillId="5" borderId="9" xfId="0" applyFill="1" applyBorder="1"/>
    <xf numFmtId="40" fontId="0" fillId="5" borderId="10" xfId="0" applyNumberFormat="1" applyFill="1" applyBorder="1"/>
    <xf numFmtId="0" fontId="0" fillId="5" borderId="11" xfId="0" applyFill="1" applyBorder="1"/>
    <xf numFmtId="38" fontId="0" fillId="5" borderId="3" xfId="0" applyNumberFormat="1" applyFill="1" applyBorder="1"/>
    <xf numFmtId="38" fontId="0" fillId="5" borderId="12" xfId="0" applyNumberFormat="1" applyFill="1" applyBorder="1"/>
    <xf numFmtId="38" fontId="10" fillId="0" borderId="0" xfId="0" applyNumberFormat="1" applyFont="1"/>
    <xf numFmtId="38" fontId="11" fillId="0" borderId="0" xfId="0" applyNumberFormat="1" applyFont="1"/>
    <xf numFmtId="38" fontId="11" fillId="0" borderId="1" xfId="0" applyNumberFormat="1" applyFont="1" applyBorder="1"/>
    <xf numFmtId="38" fontId="10" fillId="0" borderId="1" xfId="0" applyNumberFormat="1" applyFont="1" applyBorder="1"/>
    <xf numFmtId="0" fontId="2" fillId="4" borderId="0" xfId="0" applyFont="1" applyFill="1"/>
    <xf numFmtId="38" fontId="2" fillId="4" borderId="0" xfId="0" applyNumberFormat="1" applyFont="1" applyFill="1"/>
    <xf numFmtId="0" fontId="2" fillId="6" borderId="13" xfId="0" applyFont="1" applyFill="1" applyBorder="1"/>
    <xf numFmtId="0" fontId="2" fillId="6" borderId="14" xfId="0" applyFont="1" applyFill="1" applyBorder="1"/>
    <xf numFmtId="0" fontId="2" fillId="6" borderId="7" xfId="0" applyFont="1" applyFill="1" applyBorder="1"/>
    <xf numFmtId="0" fontId="2" fillId="6" borderId="0" xfId="0" applyFont="1" applyFill="1" applyBorder="1"/>
    <xf numFmtId="38" fontId="2" fillId="6" borderId="0" xfId="0" applyNumberFormat="1" applyFont="1" applyFill="1" applyBorder="1"/>
    <xf numFmtId="0" fontId="2" fillId="6" borderId="3" xfId="0" applyFont="1" applyFill="1" applyBorder="1"/>
    <xf numFmtId="0" fontId="2" fillId="6" borderId="3" xfId="0" applyFont="1" applyFill="1" applyBorder="1" applyAlignment="1">
      <alignment horizontal="right"/>
    </xf>
    <xf numFmtId="0" fontId="2" fillId="6" borderId="4" xfId="0" applyFont="1" applyFill="1" applyBorder="1"/>
    <xf numFmtId="0" fontId="2" fillId="6" borderId="8" xfId="0" applyFont="1" applyFill="1" applyBorder="1"/>
    <xf numFmtId="0" fontId="6" fillId="6" borderId="0" xfId="0" applyFont="1" applyFill="1" applyBorder="1"/>
    <xf numFmtId="0" fontId="2" fillId="6" borderId="0" xfId="0" applyFont="1" applyFill="1" applyBorder="1" applyAlignment="1">
      <alignment horizontal="left" indent="2"/>
    </xf>
    <xf numFmtId="0" fontId="2" fillId="6" borderId="11" xfId="0" applyFont="1" applyFill="1" applyBorder="1"/>
    <xf numFmtId="0" fontId="2" fillId="6" borderId="12" xfId="0" applyFont="1" applyFill="1" applyBorder="1"/>
    <xf numFmtId="37" fontId="10" fillId="0" borderId="0" xfId="0" applyNumberFormat="1" applyFont="1"/>
    <xf numFmtId="0" fontId="0" fillId="0" borderId="0" xfId="0" applyAlignment="1">
      <alignment horizontal="left" indent="4"/>
    </xf>
    <xf numFmtId="0" fontId="6" fillId="2" borderId="0" xfId="0" applyFont="1" applyFill="1"/>
    <xf numFmtId="38" fontId="13" fillId="0" borderId="0" xfId="0" applyNumberFormat="1" applyFont="1"/>
    <xf numFmtId="38" fontId="12" fillId="5" borderId="0" xfId="0" applyNumberFormat="1" applyFont="1" applyFill="1"/>
    <xf numFmtId="0" fontId="2" fillId="5" borderId="1" xfId="0" applyFont="1" applyFill="1" applyBorder="1" applyAlignment="1">
      <alignment horizontal="left" indent="2"/>
    </xf>
    <xf numFmtId="38" fontId="13" fillId="5" borderId="1" xfId="0" applyNumberFormat="1" applyFont="1" applyFill="1" applyBorder="1"/>
    <xf numFmtId="0" fontId="2" fillId="5" borderId="0" xfId="0" applyFont="1" applyFill="1" applyBorder="1"/>
    <xf numFmtId="38" fontId="12" fillId="5" borderId="0" xfId="0" applyNumberFormat="1" applyFont="1" applyFill="1" applyBorder="1"/>
    <xf numFmtId="38" fontId="13" fillId="5" borderId="0" xfId="0" applyNumberFormat="1" applyFont="1" applyFill="1" applyBorder="1"/>
    <xf numFmtId="0" fontId="2" fillId="5" borderId="0" xfId="0" applyFont="1" applyFill="1" applyBorder="1" applyAlignment="1">
      <alignment horizontal="left" indent="2"/>
    </xf>
    <xf numFmtId="0" fontId="2" fillId="5" borderId="0" xfId="0" applyFont="1" applyFill="1" applyBorder="1" applyAlignment="1">
      <alignment horizontal="left"/>
    </xf>
    <xf numFmtId="38" fontId="2" fillId="5" borderId="0" xfId="0" applyNumberFormat="1" applyFont="1" applyFill="1" applyBorder="1"/>
    <xf numFmtId="0" fontId="12" fillId="5" borderId="0" xfId="0" applyFont="1" applyFill="1"/>
    <xf numFmtId="6" fontId="12" fillId="0" borderId="0" xfId="0" applyNumberFormat="1" applyFont="1"/>
    <xf numFmtId="6" fontId="13" fillId="0" borderId="0" xfId="0" applyNumberFormat="1" applyFont="1"/>
    <xf numFmtId="10" fontId="13" fillId="0" borderId="0" xfId="1" applyNumberFormat="1" applyFont="1"/>
    <xf numFmtId="0" fontId="2" fillId="0" borderId="0" xfId="0" applyFont="1" applyAlignment="1">
      <alignment horizontal="left" vertical="center"/>
    </xf>
    <xf numFmtId="0" fontId="14" fillId="0" borderId="0" xfId="0" applyFont="1" applyAlignment="1">
      <alignment vertical="center" wrapText="1"/>
    </xf>
    <xf numFmtId="0" fontId="5" fillId="2" borderId="0" xfId="0" applyFont="1" applyFill="1" applyAlignment="1">
      <alignment vertical="center"/>
    </xf>
    <xf numFmtId="0" fontId="15" fillId="2" borderId="0" xfId="0" applyFont="1" applyFill="1" applyAlignment="1">
      <alignment vertical="center" wrapText="1"/>
    </xf>
    <xf numFmtId="0" fontId="2" fillId="0" borderId="0" xfId="0" applyFont="1" applyFill="1"/>
    <xf numFmtId="38" fontId="2" fillId="0" borderId="0" xfId="0" applyNumberFormat="1" applyFont="1" applyFill="1"/>
    <xf numFmtId="0" fontId="2" fillId="0" borderId="0" xfId="0" applyFont="1" applyFill="1" applyAlignment="1">
      <alignment horizontal="left" indent="2"/>
    </xf>
    <xf numFmtId="38" fontId="13" fillId="0" borderId="0" xfId="0" applyNumberFormat="1" applyFont="1" applyFill="1"/>
    <xf numFmtId="38" fontId="13" fillId="0" borderId="1" xfId="0" applyNumberFormat="1" applyFont="1" applyBorder="1"/>
    <xf numFmtId="0" fontId="0" fillId="0" borderId="3" xfId="0" applyFont="1" applyBorder="1"/>
    <xf numFmtId="0" fontId="0" fillId="0" borderId="0" xfId="0" applyFont="1"/>
    <xf numFmtId="0" fontId="0" fillId="7" borderId="15" xfId="0" applyFont="1" applyFill="1" applyBorder="1" applyAlignment="1">
      <alignment horizontal="center" vertical="center"/>
    </xf>
    <xf numFmtId="0" fontId="0" fillId="8" borderId="15" xfId="0" applyFont="1" applyFill="1" applyBorder="1" applyAlignment="1">
      <alignment horizontal="center" vertical="center"/>
    </xf>
    <xf numFmtId="0" fontId="0" fillId="9" borderId="1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2" borderId="0" xfId="0" applyFont="1" applyFill="1" applyAlignment="1">
      <alignment horizontal="center" vertical="center"/>
    </xf>
    <xf numFmtId="0" fontId="0" fillId="0" borderId="0" xfId="0" applyFont="1" applyFill="1" applyAlignment="1">
      <alignment horizontal="center" vertical="center"/>
    </xf>
    <xf numFmtId="0" fontId="10" fillId="7" borderId="15" xfId="0" applyFont="1" applyFill="1" applyBorder="1" applyAlignment="1">
      <alignment horizontal="center" vertical="center"/>
    </xf>
    <xf numFmtId="0" fontId="13" fillId="0" borderId="0" xfId="0" applyFont="1" applyAlignment="1">
      <alignment horizontal="center"/>
    </xf>
    <xf numFmtId="0" fontId="13" fillId="0" borderId="0" xfId="0" applyFont="1"/>
    <xf numFmtId="0" fontId="13" fillId="0" borderId="1" xfId="0" applyFont="1" applyBorder="1" applyAlignment="1">
      <alignment horizontal="center"/>
    </xf>
    <xf numFmtId="0" fontId="0" fillId="2" borderId="0" xfId="0" applyFont="1" applyFill="1" applyAlignment="1">
      <alignment vertical="center"/>
    </xf>
    <xf numFmtId="0" fontId="0" fillId="0" borderId="0" xfId="0" applyFont="1" applyAlignment="1">
      <alignment horizontal="center" vertical="center"/>
    </xf>
    <xf numFmtId="40" fontId="0" fillId="0" borderId="15" xfId="0" applyNumberFormat="1" applyFont="1" applyBorder="1" applyAlignment="1">
      <alignment horizontal="center" vertical="center"/>
    </xf>
    <xf numFmtId="40" fontId="0" fillId="9" borderId="15" xfId="0" applyNumberFormat="1" applyFont="1" applyFill="1" applyBorder="1" applyAlignment="1">
      <alignment horizontal="center" vertical="center"/>
    </xf>
    <xf numFmtId="40" fontId="0" fillId="8" borderId="15" xfId="0" applyNumberFormat="1" applyFont="1" applyFill="1" applyBorder="1" applyAlignment="1">
      <alignment horizontal="center" vertical="center"/>
    </xf>
    <xf numFmtId="38" fontId="0" fillId="0" borderId="15" xfId="0" applyNumberFormat="1" applyFont="1" applyBorder="1" applyAlignment="1">
      <alignment horizontal="center" vertical="center"/>
    </xf>
    <xf numFmtId="9" fontId="0" fillId="0" borderId="15" xfId="1" applyFont="1" applyBorder="1" applyAlignment="1">
      <alignment horizontal="center" vertical="center"/>
    </xf>
    <xf numFmtId="9" fontId="0" fillId="8" borderId="15" xfId="1" applyFont="1" applyFill="1" applyBorder="1" applyAlignment="1">
      <alignment horizontal="center" vertical="center"/>
    </xf>
    <xf numFmtId="9" fontId="0" fillId="0" borderId="15" xfId="1" applyFont="1" applyFill="1" applyBorder="1" applyAlignment="1">
      <alignment horizontal="center" vertical="center"/>
    </xf>
    <xf numFmtId="9" fontId="0" fillId="0" borderId="15" xfId="1" applyNumberFormat="1" applyFont="1" applyBorder="1" applyAlignment="1">
      <alignment horizontal="center" vertical="center"/>
    </xf>
    <xf numFmtId="2" fontId="0" fillId="0" borderId="15" xfId="0" applyNumberFormat="1" applyFont="1" applyBorder="1" applyAlignment="1">
      <alignment horizontal="center" vertical="center"/>
    </xf>
    <xf numFmtId="9" fontId="0" fillId="9" borderId="15" xfId="1" applyFont="1" applyFill="1" applyBorder="1" applyAlignment="1">
      <alignment horizontal="center" vertical="center"/>
    </xf>
    <xf numFmtId="0" fontId="0" fillId="0" borderId="0" xfId="0" applyFill="1" applyBorder="1" applyAlignment="1">
      <alignment horizontal="center" vertical="center"/>
    </xf>
    <xf numFmtId="38" fontId="0" fillId="0" borderId="0" xfId="0" applyNumberFormat="1" applyFont="1" applyBorder="1" applyAlignment="1">
      <alignment horizontal="center" vertical="center"/>
    </xf>
    <xf numFmtId="9" fontId="0" fillId="0" borderId="0" xfId="1" applyFont="1" applyFill="1" applyBorder="1" applyAlignment="1">
      <alignment horizontal="center" vertical="center"/>
    </xf>
    <xf numFmtId="0" fontId="0" fillId="0" borderId="0" xfId="0" applyFill="1"/>
    <xf numFmtId="0" fontId="2" fillId="0" borderId="0" xfId="0" applyFont="1" applyFill="1" applyAlignment="1">
      <alignment horizontal="left" vertical="center"/>
    </xf>
    <xf numFmtId="0" fontId="14" fillId="0" borderId="0" xfId="0" applyFont="1" applyFill="1" applyAlignment="1">
      <alignment vertical="center" wrapText="1"/>
    </xf>
    <xf numFmtId="9" fontId="0" fillId="0" borderId="0" xfId="1" applyNumberFormat="1" applyFont="1" applyFill="1" applyBorder="1" applyAlignment="1">
      <alignment horizontal="center" vertical="center"/>
    </xf>
    <xf numFmtId="0" fontId="0" fillId="0" borderId="3" xfId="0" applyBorder="1"/>
    <xf numFmtId="0" fontId="0" fillId="0" borderId="0" xfId="0"/>
    <xf numFmtId="0" fontId="2" fillId="0" borderId="3" xfId="0" applyFont="1" applyBorder="1" applyAlignment="1">
      <alignment horizontal="right"/>
    </xf>
    <xf numFmtId="38" fontId="2" fillId="0" borderId="0" xfId="0" applyNumberFormat="1" applyFont="1"/>
    <xf numFmtId="0" fontId="0" fillId="0" borderId="0" xfId="0" applyAlignment="1">
      <alignment horizontal="left" indent="2"/>
    </xf>
    <xf numFmtId="0" fontId="0" fillId="0" borderId="1" xfId="0" applyBorder="1" applyAlignment="1">
      <alignment horizontal="left" indent="2"/>
    </xf>
    <xf numFmtId="0" fontId="0" fillId="0" borderId="0" xfId="0" applyAlignment="1">
      <alignment horizontal="left"/>
    </xf>
    <xf numFmtId="38" fontId="0" fillId="0" borderId="0" xfId="0" applyNumberFormat="1"/>
    <xf numFmtId="38" fontId="10" fillId="0" borderId="0" xfId="0" applyNumberFormat="1" applyFont="1"/>
    <xf numFmtId="38" fontId="11" fillId="0" borderId="0" xfId="0" applyNumberFormat="1" applyFont="1"/>
    <xf numFmtId="38" fontId="11" fillId="0" borderId="1" xfId="0" applyNumberFormat="1" applyFont="1" applyBorder="1"/>
    <xf numFmtId="37" fontId="10" fillId="0" borderId="0" xfId="0" applyNumberFormat="1" applyFont="1"/>
    <xf numFmtId="38" fontId="13" fillId="0" borderId="0" xfId="0" applyNumberFormat="1" applyFont="1"/>
    <xf numFmtId="38" fontId="8" fillId="4" borderId="0" xfId="0" applyNumberFormat="1" applyFont="1" applyFill="1"/>
    <xf numFmtId="0" fontId="0" fillId="0" borderId="2" xfId="0" applyBorder="1"/>
    <xf numFmtId="0" fontId="0" fillId="0" borderId="0" xfId="0" applyFill="1" applyBorder="1"/>
    <xf numFmtId="0" fontId="0" fillId="0" borderId="0" xfId="0" applyAlignment="1">
      <alignment horizontal="left" wrapText="1" indent="2"/>
    </xf>
    <xf numFmtId="0" fontId="8" fillId="4" borderId="0" xfId="0" applyFont="1" applyFill="1" applyBorder="1" applyAlignment="1">
      <alignment horizontal="left"/>
    </xf>
    <xf numFmtId="0" fontId="0" fillId="0" borderId="1" xfId="0" applyBorder="1" applyAlignment="1">
      <alignment horizontal="left" wrapText="1" indent="2"/>
    </xf>
    <xf numFmtId="37" fontId="0" fillId="0" borderId="0" xfId="0" applyNumberFormat="1"/>
    <xf numFmtId="38" fontId="12" fillId="0" borderId="1" xfId="0" applyNumberFormat="1" applyFont="1" applyBorder="1"/>
    <xf numFmtId="0" fontId="2" fillId="0" borderId="0" xfId="0" applyFont="1" applyFill="1" applyBorder="1" applyAlignment="1">
      <alignment horizontal="right"/>
    </xf>
    <xf numFmtId="38" fontId="12" fillId="0" borderId="0" xfId="0" applyNumberFormat="1" applyFont="1" applyFill="1"/>
    <xf numFmtId="0" fontId="0" fillId="0" borderId="1" xfId="0" applyBorder="1"/>
    <xf numFmtId="0" fontId="0" fillId="0" borderId="1" xfId="0" applyFill="1" applyBorder="1"/>
    <xf numFmtId="0" fontId="0" fillId="8" borderId="0" xfId="0" applyFill="1" applyAlignment="1">
      <alignment vertical="top"/>
    </xf>
    <xf numFmtId="0" fontId="7" fillId="0" borderId="0" xfId="0" applyFont="1" applyAlignment="1">
      <alignment horizontal="center" vertical="center"/>
    </xf>
    <xf numFmtId="0" fontId="3" fillId="0" borderId="0" xfId="0" applyFont="1" applyAlignment="1">
      <alignment horizontal="center"/>
    </xf>
    <xf numFmtId="0" fontId="5" fillId="0" borderId="1" xfId="0" applyFont="1" applyBorder="1" applyAlignment="1">
      <alignment horizontal="center"/>
    </xf>
    <xf numFmtId="0" fontId="7" fillId="0" borderId="0" xfId="0" applyFont="1" applyAlignment="1">
      <alignment horizontal="center"/>
    </xf>
    <xf numFmtId="0" fontId="5" fillId="6" borderId="1" xfId="0" applyFont="1" applyFill="1" applyBorder="1" applyAlignment="1">
      <alignment horizontal="center"/>
    </xf>
    <xf numFmtId="0" fontId="8" fillId="0" borderId="0" xfId="0" applyFont="1" applyAlignment="1">
      <alignment horizontal="center"/>
    </xf>
    <xf numFmtId="38" fontId="0" fillId="8" borderId="0" xfId="0" applyNumberFormat="1" applyFill="1" applyAlignment="1">
      <alignment horizontal="left" vertical="top" wrapText="1"/>
    </xf>
    <xf numFmtId="38" fontId="0" fillId="8" borderId="0" xfId="0" applyNumberFormat="1" applyFill="1" applyAlignment="1">
      <alignment horizontal="left" vertical="top"/>
    </xf>
    <xf numFmtId="0" fontId="16" fillId="0" borderId="0" xfId="0" applyFont="1" applyAlignment="1">
      <alignment horizont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cellXfs>
  <cellStyles count="2">
    <cellStyle name="Normal" xfId="0" builtinId="0"/>
    <cellStyle name="Percent" xfId="1" builtinId="5"/>
  </cellStyles>
  <dxfs count="30">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266700</xdr:colOff>
      <xdr:row>11</xdr:row>
      <xdr:rowOff>47625</xdr:rowOff>
    </xdr:from>
    <xdr:to>
      <xdr:col>18</xdr:col>
      <xdr:colOff>542925</xdr:colOff>
      <xdr:row>20</xdr:row>
      <xdr:rowOff>123825</xdr:rowOff>
    </xdr:to>
    <xdr:sp macro="" textlink="">
      <xdr:nvSpPr>
        <xdr:cNvPr id="2" name="Right Arrow 1"/>
        <xdr:cNvSpPr/>
      </xdr:nvSpPr>
      <xdr:spPr>
        <a:xfrm>
          <a:off x="13630275" y="1714500"/>
          <a:ext cx="1495425" cy="1533525"/>
        </a:xfrm>
        <a:prstGeom prst="rightArrow">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solidFill>
                <a:sysClr val="windowText" lastClr="000000"/>
              </a:solidFill>
            </a:rPr>
            <a:t>Herd Inventory</a:t>
          </a:r>
        </a:p>
        <a:p>
          <a:pPr algn="l"/>
          <a:r>
            <a:rPr lang="en-US" sz="1100">
              <a:solidFill>
                <a:sysClr val="windowText" lastClr="000000"/>
              </a:solidFill>
            </a:rPr>
            <a:t>Information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21</xdr:row>
      <xdr:rowOff>0</xdr:rowOff>
    </xdr:from>
    <xdr:to>
      <xdr:col>14</xdr:col>
      <xdr:colOff>495300</xdr:colOff>
      <xdr:row>29</xdr:row>
      <xdr:rowOff>19050</xdr:rowOff>
    </xdr:to>
    <xdr:sp macro="" textlink="">
      <xdr:nvSpPr>
        <xdr:cNvPr id="2" name="Right Arrow 1"/>
        <xdr:cNvSpPr/>
      </xdr:nvSpPr>
      <xdr:spPr>
        <a:xfrm>
          <a:off x="11353800" y="3448050"/>
          <a:ext cx="1495425" cy="1543050"/>
        </a:xfrm>
        <a:prstGeom prst="rightArrow">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solidFill>
                <a:sysClr val="windowText" lastClr="000000"/>
              </a:solidFill>
            </a:rPr>
            <a:t>Details</a:t>
          </a:r>
          <a:r>
            <a:rPr lang="en-US" sz="1100" baseline="0">
              <a:solidFill>
                <a:sysClr val="windowText" lastClr="000000"/>
              </a:solidFill>
            </a:rPr>
            <a:t> for Animal Expenses</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190499</xdr:colOff>
      <xdr:row>22</xdr:row>
      <xdr:rowOff>76201</xdr:rowOff>
    </xdr:from>
    <xdr:to>
      <xdr:col>15</xdr:col>
      <xdr:colOff>238124</xdr:colOff>
      <xdr:row>27</xdr:row>
      <xdr:rowOff>66676</xdr:rowOff>
    </xdr:to>
    <xdr:sp macro="" textlink="">
      <xdr:nvSpPr>
        <xdr:cNvPr id="2" name="Left Arrow Callout 1"/>
        <xdr:cNvSpPr/>
      </xdr:nvSpPr>
      <xdr:spPr>
        <a:xfrm>
          <a:off x="12601574" y="3705226"/>
          <a:ext cx="1876425" cy="1143000"/>
        </a:xfrm>
        <a:prstGeom prst="left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Accounts</a:t>
          </a:r>
          <a:r>
            <a:rPr lang="en-US" sz="1100" baseline="0"/>
            <a:t> for the death loss of sheep.</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2:B8"/>
  <sheetViews>
    <sheetView workbookViewId="0"/>
  </sheetViews>
  <sheetFormatPr defaultRowHeight="15"/>
  <cols>
    <col min="2" max="2" width="80.7109375" customWidth="1"/>
  </cols>
  <sheetData>
    <row r="2" spans="2:2" ht="75">
      <c r="B2" s="30" t="s">
        <v>86</v>
      </c>
    </row>
    <row r="3" spans="2:2" ht="105">
      <c r="B3" s="30" t="s">
        <v>93</v>
      </c>
    </row>
    <row r="4" spans="2:2" ht="90">
      <c r="B4" s="30" t="s">
        <v>87</v>
      </c>
    </row>
    <row r="5" spans="2:2">
      <c r="B5" s="30" t="s">
        <v>88</v>
      </c>
    </row>
    <row r="6" spans="2:2" ht="45">
      <c r="B6" s="30" t="s">
        <v>89</v>
      </c>
    </row>
    <row r="7" spans="2:2" ht="75">
      <c r="B7" s="30" t="s">
        <v>90</v>
      </c>
    </row>
    <row r="8" spans="2:2" ht="30">
      <c r="B8" s="30" t="s">
        <v>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O51"/>
  <sheetViews>
    <sheetView tabSelected="1" topLeftCell="A10" zoomScale="70" zoomScaleNormal="70" workbookViewId="0">
      <selection activeCell="M19" sqref="M19"/>
    </sheetView>
  </sheetViews>
  <sheetFormatPr defaultRowHeight="12.75"/>
  <cols>
    <col min="1" max="1" width="4.7109375" style="2" customWidth="1"/>
    <col min="2" max="2" width="35.7109375" style="2" customWidth="1"/>
    <col min="3" max="12" width="12.7109375" style="2" customWidth="1"/>
    <col min="13" max="16384" width="9.140625" style="2"/>
  </cols>
  <sheetData>
    <row r="1" spans="2:15" ht="15" customHeight="1">
      <c r="B1" s="155" t="s">
        <v>79</v>
      </c>
      <c r="C1" s="155"/>
      <c r="D1" s="155"/>
      <c r="E1" s="155"/>
      <c r="F1" s="155"/>
      <c r="G1" s="155"/>
      <c r="H1" s="155"/>
      <c r="I1" s="155"/>
      <c r="J1" s="155"/>
      <c r="K1" s="155"/>
      <c r="L1" s="155"/>
    </row>
    <row r="2" spans="2:15">
      <c r="B2" s="156" t="s">
        <v>151</v>
      </c>
      <c r="C2" s="156"/>
      <c r="D2" s="156"/>
      <c r="E2" s="156"/>
      <c r="F2" s="156"/>
      <c r="G2" s="156"/>
      <c r="H2" s="156"/>
      <c r="I2" s="156"/>
      <c r="J2" s="156"/>
      <c r="K2" s="156"/>
      <c r="L2" s="156"/>
    </row>
    <row r="4" spans="2:15" ht="13.5" thickBot="1">
      <c r="C4" s="7" t="s">
        <v>23</v>
      </c>
      <c r="D4" s="7" t="s">
        <v>24</v>
      </c>
      <c r="E4" s="7" t="s">
        <v>25</v>
      </c>
      <c r="F4" s="7" t="s">
        <v>26</v>
      </c>
      <c r="G4" s="7" t="s">
        <v>27</v>
      </c>
      <c r="H4" s="7" t="s">
        <v>28</v>
      </c>
      <c r="I4" s="7" t="s">
        <v>29</v>
      </c>
      <c r="J4" s="7" t="s">
        <v>30</v>
      </c>
      <c r="K4" s="7" t="s">
        <v>31</v>
      </c>
      <c r="L4" s="7" t="s">
        <v>32</v>
      </c>
    </row>
    <row r="5" spans="2:15">
      <c r="B5" s="2" t="s">
        <v>0</v>
      </c>
    </row>
    <row r="6" spans="2:15" ht="12.75" customHeight="1">
      <c r="B6" s="1" t="s">
        <v>1</v>
      </c>
      <c r="C6" s="141">
        <f>'Income Statements'!C31+'Income Statements'!C47-3343</f>
        <v>6936.5</v>
      </c>
      <c r="D6" s="132">
        <f>C6+'Income Statements'!D31+'Income Statements'!D47-Loans!D150-'Owner Equity'!D18-'Owner Equity'!D20</f>
        <v>13549.971343076406</v>
      </c>
      <c r="E6" s="132">
        <f>D6+'Income Statements'!E31+'Income Statements'!E47-Loans!E150-'Owner Equity'!E18-'Owner Equity'!E20</f>
        <v>10780.386822887849</v>
      </c>
      <c r="F6" s="132">
        <f>E6+'Income Statements'!F31+'Income Statements'!F47-Loans!F150-'Owner Equity'!F18-'Owner Equity'!F20</f>
        <v>17909.100534380195</v>
      </c>
      <c r="G6" s="132">
        <f>F6+'Income Statements'!G31+'Income Statements'!G47-Loans!G150-'Owner Equity'!G18-'Owner Equity'!G20</f>
        <v>21419.881375346169</v>
      </c>
      <c r="H6" s="132">
        <f>G6+'Income Statements'!H31+'Income Statements'!H47-Loans!H150-'Owner Equity'!H18-'Owner Equity'!H20</f>
        <v>5957.5180752117049</v>
      </c>
      <c r="I6" s="132">
        <f>H6+'Income Statements'!I31+'Income Statements'!I47-Loans!I150-'Owner Equity'!I18-'Owner Equity'!I20</f>
        <v>9088.51600065817</v>
      </c>
      <c r="J6" s="132">
        <f>I6+'Income Statements'!J31+'Income Statements'!J47-Loans!J150-'Owner Equity'!J18-'Owner Equity'!J20</f>
        <v>10843.715044703338</v>
      </c>
      <c r="K6" s="132">
        <f>J6+'Income Statements'!K31+'Income Statements'!K47-Loans!K150-'Owner Equity'!K18-'Owner Equity'!K20</f>
        <v>6517.5970658033284</v>
      </c>
      <c r="L6" s="132">
        <f>K6+'Income Statements'!L31+'Income Statements'!L47-Loans!L150-'Owner Equity'!L18-'Owner Equity'!L20</f>
        <v>10543.241415846049</v>
      </c>
    </row>
    <row r="7" spans="2:15">
      <c r="B7" s="1" t="s">
        <v>124</v>
      </c>
      <c r="C7" s="74">
        <v>0</v>
      </c>
      <c r="D7" s="74">
        <v>0</v>
      </c>
      <c r="E7" s="141">
        <v>0</v>
      </c>
      <c r="F7" s="141">
        <v>0</v>
      </c>
      <c r="G7" s="141">
        <v>0</v>
      </c>
      <c r="H7" s="141">
        <v>0</v>
      </c>
      <c r="I7" s="141">
        <v>0</v>
      </c>
      <c r="J7" s="141">
        <v>0</v>
      </c>
      <c r="K7" s="141">
        <v>0</v>
      </c>
      <c r="L7" s="141">
        <v>0</v>
      </c>
    </row>
    <row r="8" spans="2:15">
      <c r="B8" s="10" t="s">
        <v>2</v>
      </c>
      <c r="C8" s="96">
        <v>0</v>
      </c>
      <c r="D8" s="96">
        <v>0</v>
      </c>
      <c r="E8" s="96">
        <v>0</v>
      </c>
      <c r="F8" s="96">
        <v>0</v>
      </c>
      <c r="G8" s="96">
        <v>0</v>
      </c>
      <c r="H8" s="96">
        <v>0</v>
      </c>
      <c r="I8" s="96">
        <v>0</v>
      </c>
      <c r="J8" s="96">
        <v>0</v>
      </c>
      <c r="K8" s="96">
        <v>0</v>
      </c>
      <c r="L8" s="96">
        <v>0</v>
      </c>
      <c r="O8" s="132"/>
    </row>
    <row r="9" spans="2:15">
      <c r="B9" s="1" t="s">
        <v>3</v>
      </c>
      <c r="C9" s="8">
        <f>SUM(C6:C8)</f>
        <v>6936.5</v>
      </c>
      <c r="D9" s="8">
        <f t="shared" ref="D9" si="0">SUM(D6:D8)</f>
        <v>13549.971343076406</v>
      </c>
      <c r="E9" s="8">
        <f t="shared" ref="E9" si="1">SUM(E6:E8)</f>
        <v>10780.386822887849</v>
      </c>
      <c r="F9" s="8">
        <f t="shared" ref="F9" si="2">SUM(F6:F8)</f>
        <v>17909.100534380195</v>
      </c>
      <c r="G9" s="8">
        <f t="shared" ref="G9" si="3">SUM(G6:G8)</f>
        <v>21419.881375346169</v>
      </c>
      <c r="H9" s="8">
        <f t="shared" ref="H9" si="4">SUM(H6:H8)</f>
        <v>5957.5180752117049</v>
      </c>
      <c r="I9" s="8">
        <f t="shared" ref="I9" si="5">SUM(I6:I8)</f>
        <v>9088.51600065817</v>
      </c>
      <c r="J9" s="8">
        <f t="shared" ref="J9" si="6">SUM(J6:J8)</f>
        <v>10843.715044703338</v>
      </c>
      <c r="K9" s="8">
        <f t="shared" ref="K9" si="7">SUM(K6:K8)</f>
        <v>6517.5970658033284</v>
      </c>
      <c r="L9" s="8">
        <f t="shared" ref="L9" si="8">SUM(L6:L8)</f>
        <v>10543.241415846049</v>
      </c>
    </row>
    <row r="10" spans="2:15">
      <c r="C10" s="8"/>
      <c r="D10" s="8"/>
      <c r="E10" s="8"/>
      <c r="F10" s="8"/>
      <c r="G10" s="8"/>
      <c r="H10" s="8"/>
      <c r="I10" s="8"/>
      <c r="J10" s="8"/>
      <c r="K10" s="8"/>
      <c r="L10" s="8"/>
    </row>
    <row r="11" spans="2:15">
      <c r="B11" s="2" t="s">
        <v>4</v>
      </c>
      <c r="C11" s="8"/>
      <c r="D11" s="8"/>
      <c r="E11" s="8"/>
      <c r="F11" s="8"/>
      <c r="G11" s="8"/>
      <c r="H11" s="8"/>
      <c r="I11" s="8"/>
      <c r="J11" s="8"/>
      <c r="K11" s="8"/>
      <c r="L11" s="8"/>
    </row>
    <row r="12" spans="2:15">
      <c r="B12" s="1" t="s">
        <v>7</v>
      </c>
      <c r="C12" s="8">
        <f>'Assets+Depr'!G11</f>
        <v>4642.8571428571431</v>
      </c>
      <c r="D12" s="8">
        <f>'Assets+Depr'!H11</f>
        <v>3928.5714285714289</v>
      </c>
      <c r="E12" s="8">
        <f>'Assets+Depr'!I11</f>
        <v>3214.2857142857147</v>
      </c>
      <c r="F12" s="8">
        <f>'Assets+Depr'!J11</f>
        <v>2500.0000000000005</v>
      </c>
      <c r="G12" s="8">
        <f>'Assets+Depr'!K11</f>
        <v>25535.714285714286</v>
      </c>
      <c r="H12" s="8">
        <f>'Assets+Depr'!L11</f>
        <v>22321.428571428572</v>
      </c>
      <c r="I12" s="8">
        <f>'Assets+Depr'!M11</f>
        <v>19107.142857142859</v>
      </c>
      <c r="J12" s="8">
        <f>'Assets+Depr'!N11</f>
        <v>16250</v>
      </c>
      <c r="K12" s="8">
        <f>'Assets+Depr'!O11</f>
        <v>13750</v>
      </c>
      <c r="L12" s="8">
        <f>'Assets+Depr'!P11</f>
        <v>11250</v>
      </c>
    </row>
    <row r="13" spans="2:15">
      <c r="B13" s="1" t="s">
        <v>8</v>
      </c>
      <c r="C13" s="8">
        <f>'Assets+Depr'!G21</f>
        <v>0</v>
      </c>
      <c r="D13" s="8">
        <f>'Assets+Depr'!H21</f>
        <v>0</v>
      </c>
      <c r="E13" s="8">
        <f>'Assets+Depr'!I21</f>
        <v>2216.6666666666665</v>
      </c>
      <c r="F13" s="8">
        <f>'Assets+Depr'!J21</f>
        <v>1650</v>
      </c>
      <c r="G13" s="8">
        <f>'Assets+Depr'!K21</f>
        <v>1083.3333333333335</v>
      </c>
      <c r="H13" s="8">
        <f>'Assets+Depr'!L21</f>
        <v>1225</v>
      </c>
      <c r="I13" s="8">
        <f>'Assets+Depr'!M21</f>
        <v>575</v>
      </c>
      <c r="J13" s="8">
        <f>'Assets+Depr'!N21</f>
        <v>125</v>
      </c>
      <c r="K13" s="8">
        <f>'Assets+Depr'!O21</f>
        <v>9135.4166666666679</v>
      </c>
      <c r="L13" s="8">
        <f>'Assets+Depr'!P21</f>
        <v>6356.25</v>
      </c>
    </row>
    <row r="14" spans="2:15">
      <c r="B14" s="1" t="s">
        <v>40</v>
      </c>
      <c r="C14" s="8">
        <f>'Assets+Depr'!G27</f>
        <v>0</v>
      </c>
      <c r="D14" s="8">
        <f>'Assets+Depr'!H27</f>
        <v>0</v>
      </c>
      <c r="E14" s="8">
        <f>'Assets+Depr'!I27</f>
        <v>0</v>
      </c>
      <c r="F14" s="8">
        <f>'Assets+Depr'!J27</f>
        <v>0</v>
      </c>
      <c r="G14" s="8">
        <f>'Assets+Depr'!K27</f>
        <v>12856.666666666668</v>
      </c>
      <c r="H14" s="8">
        <f>'Assets+Depr'!L27</f>
        <v>11970</v>
      </c>
      <c r="I14" s="8">
        <f>'Assets+Depr'!M27</f>
        <v>11083.333333333332</v>
      </c>
      <c r="J14" s="8">
        <f>'Assets+Depr'!N27</f>
        <v>10196.666666666666</v>
      </c>
      <c r="K14" s="8">
        <f>'Assets+Depr'!O27</f>
        <v>10479.999999999998</v>
      </c>
      <c r="L14" s="8">
        <f>'Assets+Depr'!P27</f>
        <v>9533.3333333333321</v>
      </c>
    </row>
    <row r="15" spans="2:15">
      <c r="B15" s="1" t="s">
        <v>9</v>
      </c>
      <c r="C15" s="8">
        <f>'Assets+Depr'!G34</f>
        <v>1336.5</v>
      </c>
      <c r="D15" s="8">
        <f>'Assets+Depr'!H34</f>
        <v>1219.5</v>
      </c>
      <c r="E15" s="8">
        <f>'Assets+Depr'!I34</f>
        <v>6002.5</v>
      </c>
      <c r="F15" s="8">
        <f>'Assets+Depr'!J34</f>
        <v>5685.5</v>
      </c>
      <c r="G15" s="8">
        <f>'Assets+Depr'!K34</f>
        <v>5368.5</v>
      </c>
      <c r="H15" s="8">
        <f>'Assets+Depr'!L34</f>
        <v>5051.5</v>
      </c>
      <c r="I15" s="8">
        <f>'Assets+Depr'!M34</f>
        <v>4734.5</v>
      </c>
      <c r="J15" s="8">
        <f>'Assets+Depr'!N34</f>
        <v>18137.5</v>
      </c>
      <c r="K15" s="8">
        <f>'Assets+Depr'!O34</f>
        <v>17260.5</v>
      </c>
      <c r="L15" s="8">
        <f>'Assets+Depr'!P34</f>
        <v>16383.5</v>
      </c>
    </row>
    <row r="16" spans="2:15">
      <c r="B16" s="10" t="s">
        <v>5</v>
      </c>
      <c r="C16" s="12">
        <f>'Assets+Depr'!G40</f>
        <v>8400</v>
      </c>
      <c r="D16" s="12">
        <f>'Assets+Depr'!H40</f>
        <v>8400</v>
      </c>
      <c r="E16" s="12">
        <f>'Assets+Depr'!I40</f>
        <v>42400</v>
      </c>
      <c r="F16" s="12">
        <f>'Assets+Depr'!J40</f>
        <v>42400</v>
      </c>
      <c r="G16" s="12">
        <f>'Assets+Depr'!K40</f>
        <v>42400</v>
      </c>
      <c r="H16" s="12">
        <f>'Assets+Depr'!L40</f>
        <v>42400</v>
      </c>
      <c r="I16" s="12">
        <f>'Assets+Depr'!M40</f>
        <v>42400</v>
      </c>
      <c r="J16" s="12">
        <f>'Assets+Depr'!N40</f>
        <v>82400</v>
      </c>
      <c r="K16" s="12">
        <f>'Assets+Depr'!O40</f>
        <v>82400</v>
      </c>
      <c r="L16" s="12">
        <f>'Assets+Depr'!P40</f>
        <v>82400</v>
      </c>
    </row>
    <row r="17" spans="2:12">
      <c r="B17" s="1" t="s">
        <v>10</v>
      </c>
      <c r="C17" s="8">
        <f t="shared" ref="C17:L17" si="9">SUM(C12:C16)</f>
        <v>14379.357142857143</v>
      </c>
      <c r="D17" s="8">
        <f t="shared" si="9"/>
        <v>13548.071428571429</v>
      </c>
      <c r="E17" s="8">
        <f t="shared" si="9"/>
        <v>53833.452380952382</v>
      </c>
      <c r="F17" s="8">
        <f t="shared" si="9"/>
        <v>52235.5</v>
      </c>
      <c r="G17" s="8">
        <f t="shared" si="9"/>
        <v>87244.21428571429</v>
      </c>
      <c r="H17" s="8">
        <f t="shared" si="9"/>
        <v>82967.92857142858</v>
      </c>
      <c r="I17" s="8">
        <f t="shared" si="9"/>
        <v>77899.976190476184</v>
      </c>
      <c r="J17" s="8">
        <f t="shared" si="9"/>
        <v>127109.16666666666</v>
      </c>
      <c r="K17" s="8">
        <f t="shared" si="9"/>
        <v>133025.91666666666</v>
      </c>
      <c r="L17" s="8">
        <f t="shared" si="9"/>
        <v>125923.08333333333</v>
      </c>
    </row>
    <row r="18" spans="2:12" ht="13.5" thickBot="1">
      <c r="B18" s="18"/>
      <c r="C18" s="19"/>
      <c r="D18" s="19"/>
      <c r="E18" s="19"/>
      <c r="F18" s="19"/>
      <c r="G18" s="19"/>
      <c r="H18" s="19"/>
      <c r="I18" s="19"/>
      <c r="J18" s="19"/>
      <c r="K18" s="19"/>
      <c r="L18" s="19"/>
    </row>
    <row r="19" spans="2:12" ht="13.5" thickTop="1">
      <c r="B19" s="27" t="s">
        <v>20</v>
      </c>
      <c r="C19" s="22">
        <f t="shared" ref="C19:L19" si="10">C9+C17</f>
        <v>21315.857142857145</v>
      </c>
      <c r="D19" s="22">
        <f t="shared" si="10"/>
        <v>27098.042771647837</v>
      </c>
      <c r="E19" s="22">
        <f t="shared" si="10"/>
        <v>64613.839203840231</v>
      </c>
      <c r="F19" s="22">
        <f t="shared" si="10"/>
        <v>70144.600534380195</v>
      </c>
      <c r="G19" s="22">
        <f t="shared" si="10"/>
        <v>108664.09566106046</v>
      </c>
      <c r="H19" s="22">
        <f t="shared" si="10"/>
        <v>88925.446646640281</v>
      </c>
      <c r="I19" s="22">
        <f t="shared" si="10"/>
        <v>86988.492191134355</v>
      </c>
      <c r="J19" s="22">
        <f t="shared" si="10"/>
        <v>137952.88171136999</v>
      </c>
      <c r="K19" s="22">
        <f t="shared" si="10"/>
        <v>139543.51373246999</v>
      </c>
      <c r="L19" s="22">
        <f t="shared" si="10"/>
        <v>136466.32474917939</v>
      </c>
    </row>
    <row r="20" spans="2:12">
      <c r="C20" s="8"/>
      <c r="D20" s="8"/>
      <c r="E20" s="8"/>
      <c r="F20" s="8"/>
      <c r="G20" s="8"/>
      <c r="H20" s="8"/>
      <c r="I20" s="8"/>
      <c r="J20" s="8"/>
      <c r="K20" s="8"/>
      <c r="L20" s="8"/>
    </row>
    <row r="21" spans="2:12">
      <c r="B21" s="2" t="s">
        <v>11</v>
      </c>
      <c r="C21" s="8"/>
      <c r="D21" s="8"/>
      <c r="E21" s="8"/>
      <c r="F21" s="8"/>
      <c r="G21" s="8"/>
      <c r="H21" s="8"/>
      <c r="I21" s="8"/>
      <c r="J21" s="8"/>
      <c r="K21" s="8"/>
      <c r="L21" s="8"/>
    </row>
    <row r="22" spans="2:12">
      <c r="B22" s="1" t="s">
        <v>12</v>
      </c>
      <c r="C22" s="74">
        <v>0</v>
      </c>
      <c r="D22" s="74">
        <v>0</v>
      </c>
      <c r="E22" s="74">
        <v>0</v>
      </c>
      <c r="F22" s="74">
        <v>0</v>
      </c>
      <c r="G22" s="74">
        <v>0</v>
      </c>
      <c r="H22" s="74">
        <v>0</v>
      </c>
      <c r="I22" s="74">
        <v>0</v>
      </c>
      <c r="J22" s="74">
        <v>0</v>
      </c>
      <c r="K22" s="74">
        <v>0</v>
      </c>
      <c r="L22" s="74">
        <v>0</v>
      </c>
    </row>
    <row r="23" spans="2:12">
      <c r="B23" s="1" t="s">
        <v>13</v>
      </c>
      <c r="C23" s="8"/>
      <c r="D23" s="8"/>
      <c r="E23" s="8"/>
      <c r="F23" s="8"/>
      <c r="G23" s="8"/>
      <c r="H23" s="8"/>
      <c r="I23" s="8"/>
      <c r="J23" s="8"/>
      <c r="K23" s="8"/>
      <c r="L23" s="8"/>
    </row>
    <row r="24" spans="2:12">
      <c r="B24" s="20" t="s">
        <v>14</v>
      </c>
      <c r="C24" s="8">
        <f>Loans!D14</f>
        <v>143.84733621414694</v>
      </c>
      <c r="D24" s="8">
        <f>Loans!E14</f>
        <v>151.03970302485428</v>
      </c>
      <c r="E24" s="8">
        <f>Loans!F14</f>
        <v>158.59168817609699</v>
      </c>
      <c r="F24" s="8">
        <f>Loans!G14</f>
        <v>166.52127258490185</v>
      </c>
      <c r="G24" s="8">
        <f>Loans!H14</f>
        <v>0</v>
      </c>
      <c r="H24" s="8">
        <f>Loans!I14</f>
        <v>0</v>
      </c>
      <c r="I24" s="8">
        <f>Loans!J14</f>
        <v>0</v>
      </c>
      <c r="J24" s="8">
        <f>Loans!K14</f>
        <v>0</v>
      </c>
      <c r="K24" s="8">
        <f>Loans!L14</f>
        <v>0</v>
      </c>
      <c r="L24" s="8">
        <f>Loans!M14</f>
        <v>0</v>
      </c>
    </row>
    <row r="25" spans="2:12">
      <c r="B25" s="20" t="s">
        <v>15</v>
      </c>
      <c r="C25" s="8">
        <f>Loans!D24</f>
        <v>1067.6301277274133</v>
      </c>
      <c r="D25" s="8">
        <f>Loans!E24</f>
        <v>1104.9971821978727</v>
      </c>
      <c r="E25" s="8">
        <f>Loans!F24</f>
        <v>1143.6720835747983</v>
      </c>
      <c r="F25" s="8">
        <f>Loans!G24</f>
        <v>1183.7006064999161</v>
      </c>
      <c r="G25" s="8">
        <f>Loans!H24</f>
        <v>0</v>
      </c>
      <c r="H25" s="8">
        <f>Loans!I24</f>
        <v>0</v>
      </c>
      <c r="I25" s="8">
        <f>Loans!J24</f>
        <v>0</v>
      </c>
      <c r="J25" s="8">
        <f>Loans!K24</f>
        <v>0</v>
      </c>
      <c r="K25" s="8">
        <f>Loans!L24</f>
        <v>0</v>
      </c>
      <c r="L25" s="8">
        <f>Loans!M24</f>
        <v>0</v>
      </c>
    </row>
    <row r="26" spans="2:12">
      <c r="B26" s="20" t="s">
        <v>72</v>
      </c>
      <c r="C26" s="8">
        <f>Loans!D74</f>
        <v>0</v>
      </c>
      <c r="D26" s="8">
        <f>Loans!E74</f>
        <v>0</v>
      </c>
      <c r="E26" s="8">
        <f>Loans!F74</f>
        <v>0</v>
      </c>
      <c r="F26" s="8">
        <f>Loans!G74</f>
        <v>0</v>
      </c>
      <c r="G26" s="8">
        <f>Loans!H74</f>
        <v>3221.072128851094</v>
      </c>
      <c r="H26" s="8">
        <f>Loans!I74</f>
        <v>3357.9676943272652</v>
      </c>
      <c r="I26" s="8">
        <f>Loans!J74</f>
        <v>3500.6813213361743</v>
      </c>
      <c r="J26" s="8">
        <f>Loans!K74</f>
        <v>3649.4602774929617</v>
      </c>
      <c r="K26" s="8">
        <f>Loans!L74</f>
        <v>3804.5623392864127</v>
      </c>
      <c r="L26" s="8">
        <f>Loans!M74</f>
        <v>3966.2562387060852</v>
      </c>
    </row>
    <row r="27" spans="2:12">
      <c r="B27" s="20" t="s">
        <v>76</v>
      </c>
      <c r="C27" s="8">
        <f>Loans!D84</f>
        <v>0</v>
      </c>
      <c r="D27" s="8">
        <f>Loans!E84</f>
        <v>0</v>
      </c>
      <c r="E27" s="8">
        <f>Loans!F84</f>
        <v>0</v>
      </c>
      <c r="F27" s="8">
        <f>Loans!G84</f>
        <v>0</v>
      </c>
      <c r="G27" s="8">
        <f>Loans!H84</f>
        <v>2041.7006919787996</v>
      </c>
      <c r="H27" s="8">
        <f>Loans!I84</f>
        <v>2189.7239921472628</v>
      </c>
      <c r="I27" s="8">
        <f>Loans!J84</f>
        <v>2348.4789815779391</v>
      </c>
      <c r="J27" s="8">
        <f>Loans!K84</f>
        <v>2518.7437077423397</v>
      </c>
      <c r="K27" s="8">
        <f>Loans!L84</f>
        <v>2701.3526265536593</v>
      </c>
      <c r="L27" s="8">
        <f>Loans!M84</f>
        <v>0</v>
      </c>
    </row>
    <row r="28" spans="2:12">
      <c r="B28" s="20" t="s">
        <v>77</v>
      </c>
      <c r="C28" s="8">
        <f>Loans!D64</f>
        <v>0</v>
      </c>
      <c r="D28" s="8">
        <f>Loans!E64</f>
        <v>0</v>
      </c>
      <c r="E28" s="8">
        <f>Loans!F64</f>
        <v>1528.1976713517797</v>
      </c>
      <c r="F28" s="8">
        <f>Loans!G64</f>
        <v>1589.3255782058509</v>
      </c>
      <c r="G28" s="8">
        <f>Loans!H64</f>
        <v>1652.898601334085</v>
      </c>
      <c r="H28" s="8">
        <f>Loans!I64</f>
        <v>1719.0145453874484</v>
      </c>
      <c r="I28" s="8">
        <f>Loans!J64</f>
        <v>1787.7751272029461</v>
      </c>
      <c r="J28" s="8">
        <f>Loans!K64</f>
        <v>1859.286132291064</v>
      </c>
      <c r="K28" s="8">
        <f>Loans!L64</f>
        <v>1933.6575775827066</v>
      </c>
      <c r="L28" s="8">
        <f>Loans!M64</f>
        <v>2011.0038806860148</v>
      </c>
    </row>
    <row r="29" spans="2:12">
      <c r="B29" s="20" t="s">
        <v>135</v>
      </c>
      <c r="C29" s="132">
        <f>Loans!D34</f>
        <v>0</v>
      </c>
      <c r="D29" s="132">
        <f>Loans!E34</f>
        <v>0</v>
      </c>
      <c r="E29" s="132">
        <f>Loans!F34</f>
        <v>723.89919251307242</v>
      </c>
      <c r="F29" s="132">
        <f>Loans!G34</f>
        <v>760.09415213872603</v>
      </c>
      <c r="G29" s="132">
        <f>Loans!H34</f>
        <v>798.09885974566237</v>
      </c>
      <c r="H29" s="132">
        <f>Loans!I34</f>
        <v>838.00380273294547</v>
      </c>
      <c r="I29" s="132">
        <f>Loans!J34</f>
        <v>879.90399286959268</v>
      </c>
      <c r="J29" s="132">
        <f>Loans!K34</f>
        <v>0</v>
      </c>
      <c r="K29" s="132">
        <f>Loans!L34</f>
        <v>0</v>
      </c>
      <c r="L29" s="132">
        <f>Loans!M34</f>
        <v>0</v>
      </c>
    </row>
    <row r="30" spans="2:12">
      <c r="B30" s="20" t="s">
        <v>78</v>
      </c>
      <c r="C30" s="8">
        <f>Loans!D104</f>
        <v>0</v>
      </c>
      <c r="D30" s="8">
        <f>Loans!E104</f>
        <v>0</v>
      </c>
      <c r="E30" s="8">
        <f>Loans!F104</f>
        <v>0</v>
      </c>
      <c r="F30" s="8">
        <f>Loans!G104</f>
        <v>0</v>
      </c>
      <c r="G30" s="8">
        <f>Loans!H104</f>
        <v>0</v>
      </c>
      <c r="H30" s="8">
        <f>Loans!I104</f>
        <v>0</v>
      </c>
      <c r="I30" s="8">
        <f>Loans!J104</f>
        <v>0</v>
      </c>
      <c r="J30" s="8">
        <f>Loans!K104</f>
        <v>1959.0597282902204</v>
      </c>
      <c r="K30" s="8">
        <f>Loans!L104</f>
        <v>2022.7291694596527</v>
      </c>
      <c r="L30" s="8">
        <f>Loans!M104</f>
        <v>2088.4678674670913</v>
      </c>
    </row>
    <row r="31" spans="2:12">
      <c r="B31" s="20" t="s">
        <v>260</v>
      </c>
      <c r="C31" s="132">
        <f>Loans!D114</f>
        <v>0</v>
      </c>
      <c r="D31" s="132">
        <f>Loans!E114</f>
        <v>0</v>
      </c>
      <c r="E31" s="132">
        <f>Loans!F114</f>
        <v>0</v>
      </c>
      <c r="F31" s="132">
        <f>Loans!G114</f>
        <v>0</v>
      </c>
      <c r="G31" s="132">
        <f>Loans!H114</f>
        <v>0</v>
      </c>
      <c r="H31" s="132">
        <f>Loans!I114</f>
        <v>0</v>
      </c>
      <c r="I31" s="132">
        <f>Loans!J114</f>
        <v>0</v>
      </c>
      <c r="J31" s="132">
        <f>Loans!K114</f>
        <v>0</v>
      </c>
      <c r="K31" s="132">
        <f>Loans!L114</f>
        <v>1532.9720091413542</v>
      </c>
      <c r="L31" s="132">
        <f>Loans!M114</f>
        <v>1582.7935994384482</v>
      </c>
    </row>
    <row r="32" spans="2:12">
      <c r="B32" s="10" t="s">
        <v>16</v>
      </c>
      <c r="C32" s="149">
        <f>'Income Statements'!C20</f>
        <v>196</v>
      </c>
      <c r="D32" s="149">
        <f>'Income Statements'!D20</f>
        <v>196</v>
      </c>
      <c r="E32" s="149">
        <f>'Income Statements'!E20</f>
        <v>196</v>
      </c>
      <c r="F32" s="149">
        <f>'Income Statements'!F20</f>
        <v>196</v>
      </c>
      <c r="G32" s="149">
        <f>'Income Statements'!G20</f>
        <v>196</v>
      </c>
      <c r="H32" s="149">
        <f>'Income Statements'!H20</f>
        <v>196</v>
      </c>
      <c r="I32" s="149">
        <f>'Income Statements'!I20</f>
        <v>196</v>
      </c>
      <c r="J32" s="149">
        <f>'Income Statements'!J20</f>
        <v>196</v>
      </c>
      <c r="K32" s="149">
        <f>'Income Statements'!K20</f>
        <v>196</v>
      </c>
      <c r="L32" s="149">
        <f>'Income Statements'!L20</f>
        <v>196</v>
      </c>
    </row>
    <row r="33" spans="2:12">
      <c r="B33" s="1" t="s">
        <v>17</v>
      </c>
      <c r="C33" s="8">
        <f t="shared" ref="C33:L33" si="11">SUM(C22:C32)</f>
        <v>1407.4774639415602</v>
      </c>
      <c r="D33" s="8">
        <f t="shared" si="11"/>
        <v>1452.0368852227271</v>
      </c>
      <c r="E33" s="8">
        <f t="shared" si="11"/>
        <v>3750.360635615747</v>
      </c>
      <c r="F33" s="8">
        <f t="shared" si="11"/>
        <v>3895.6416094293945</v>
      </c>
      <c r="G33" s="8">
        <f t="shared" si="11"/>
        <v>7909.7702819096421</v>
      </c>
      <c r="H33" s="8">
        <f t="shared" si="11"/>
        <v>8300.710034594922</v>
      </c>
      <c r="I33" s="8">
        <f t="shared" si="11"/>
        <v>8712.8394229866517</v>
      </c>
      <c r="J33" s="8">
        <f t="shared" si="11"/>
        <v>10182.549845816586</v>
      </c>
      <c r="K33" s="8">
        <f t="shared" si="11"/>
        <v>12191.273722023787</v>
      </c>
      <c r="L33" s="8">
        <f t="shared" si="11"/>
        <v>9844.5215862976402</v>
      </c>
    </row>
    <row r="34" spans="2:12">
      <c r="B34" s="1"/>
      <c r="C34" s="8"/>
      <c r="D34" s="8"/>
      <c r="E34" s="8"/>
      <c r="F34" s="8"/>
      <c r="G34" s="8"/>
      <c r="H34" s="8"/>
      <c r="I34" s="8"/>
      <c r="J34" s="8"/>
      <c r="K34" s="8"/>
      <c r="L34" s="8"/>
    </row>
    <row r="35" spans="2:12">
      <c r="B35" s="14" t="s">
        <v>18</v>
      </c>
      <c r="C35" s="8"/>
      <c r="D35" s="8"/>
      <c r="E35" s="8"/>
      <c r="F35" s="8"/>
      <c r="G35" s="8"/>
      <c r="H35" s="8"/>
      <c r="I35" s="8"/>
      <c r="J35" s="8"/>
      <c r="K35" s="8"/>
      <c r="L35" s="8"/>
    </row>
    <row r="36" spans="2:12">
      <c r="B36" s="20" t="s">
        <v>14</v>
      </c>
      <c r="C36" s="8">
        <f>Loans!D9-Loans!D14</f>
        <v>476.15266378585306</v>
      </c>
      <c r="D36" s="8">
        <f>Loans!E9-Loans!E14</f>
        <v>325.11296076099882</v>
      </c>
      <c r="E36" s="8">
        <f>Loans!F9-Loans!F14</f>
        <v>166.52127258490182</v>
      </c>
      <c r="F36" s="8">
        <f>Loans!G9-Loans!G14</f>
        <v>0</v>
      </c>
      <c r="G36" s="8">
        <f>Loans!H9-Loans!H14</f>
        <v>0</v>
      </c>
      <c r="H36" s="8">
        <f>Loans!I9-Loans!I14</f>
        <v>0</v>
      </c>
      <c r="I36" s="8">
        <f>Loans!J9-Loans!J14</f>
        <v>0</v>
      </c>
      <c r="J36" s="8">
        <f>Loans!K9-Loans!K14</f>
        <v>0</v>
      </c>
      <c r="K36" s="8">
        <f>Loans!L9-Loans!L14</f>
        <v>0</v>
      </c>
      <c r="L36" s="8">
        <f>Loans!M9-Loans!M14</f>
        <v>0</v>
      </c>
    </row>
    <row r="37" spans="2:12">
      <c r="B37" s="20" t="s">
        <v>15</v>
      </c>
      <c r="C37" s="8">
        <f>Loans!D19-Loans!D24</f>
        <v>3432.3698722725867</v>
      </c>
      <c r="D37" s="8">
        <f>Loans!E19-Loans!E24</f>
        <v>2327.3726900747142</v>
      </c>
      <c r="E37" s="8">
        <f>Loans!F19-Loans!F24</f>
        <v>1183.7006064999159</v>
      </c>
      <c r="F37" s="8">
        <f>Loans!G19-Loans!G24</f>
        <v>0</v>
      </c>
      <c r="G37" s="8">
        <f>Loans!H19-Loans!H24</f>
        <v>0</v>
      </c>
      <c r="H37" s="8">
        <f>Loans!I19-Loans!I24</f>
        <v>0</v>
      </c>
      <c r="I37" s="8">
        <f>Loans!J19-Loans!J24</f>
        <v>0</v>
      </c>
      <c r="J37" s="8">
        <f>Loans!K19-Loans!K24</f>
        <v>0</v>
      </c>
      <c r="K37" s="8">
        <f>Loans!L19-Loans!L24</f>
        <v>0</v>
      </c>
      <c r="L37" s="8">
        <f>Loans!M19-Loans!M24</f>
        <v>0</v>
      </c>
    </row>
    <row r="38" spans="2:12">
      <c r="B38" s="20" t="s">
        <v>72</v>
      </c>
      <c r="C38" s="8">
        <f>Loans!D69-Loans!D74</f>
        <v>0</v>
      </c>
      <c r="D38" s="8">
        <f>Loans!E69-Loans!E74</f>
        <v>0</v>
      </c>
      <c r="E38" s="8">
        <f>Loans!F69-Loans!F74</f>
        <v>0</v>
      </c>
      <c r="F38" s="8">
        <f>Loans!G69-Loans!G74</f>
        <v>0</v>
      </c>
      <c r="G38" s="8">
        <f>Loans!H69-Loans!H74</f>
        <v>18278.927871148906</v>
      </c>
      <c r="H38" s="8">
        <f>Loans!I69-Loans!I74</f>
        <v>14920.960176821642</v>
      </c>
      <c r="I38" s="8">
        <f>Loans!J69-Loans!J74</f>
        <v>11420.278855485467</v>
      </c>
      <c r="J38" s="8">
        <f>Loans!K69-Loans!K74</f>
        <v>7770.8185779925052</v>
      </c>
      <c r="K38" s="8">
        <f>Loans!L69-Loans!L74</f>
        <v>3966.2562387060925</v>
      </c>
      <c r="L38" s="8">
        <f>Loans!M69-Loans!M74</f>
        <v>7.2759576141834259E-12</v>
      </c>
    </row>
    <row r="39" spans="2:12">
      <c r="B39" s="20" t="s">
        <v>76</v>
      </c>
      <c r="C39" s="8">
        <f>Loans!D79-Loans!D84</f>
        <v>0</v>
      </c>
      <c r="D39" s="8">
        <f>Loans!E79-Loans!E84</f>
        <v>0</v>
      </c>
      <c r="E39" s="8">
        <f>Loans!F79-Loans!F84</f>
        <v>0</v>
      </c>
      <c r="F39" s="8">
        <f>Loans!G79-Loans!G84</f>
        <v>0</v>
      </c>
      <c r="G39" s="8">
        <f>Loans!H79-Loans!H84</f>
        <v>9758.2993080212</v>
      </c>
      <c r="H39" s="8">
        <f>Loans!I79-Loans!I84</f>
        <v>7568.5753158739371</v>
      </c>
      <c r="I39" s="8">
        <f>Loans!J79-Loans!J84</f>
        <v>5220.0963342959985</v>
      </c>
      <c r="J39" s="8">
        <f>Loans!K79-Loans!K84</f>
        <v>2701.3526265536589</v>
      </c>
      <c r="K39" s="8">
        <f>Loans!L79-Loans!L84</f>
        <v>0</v>
      </c>
      <c r="L39" s="8">
        <f>Loans!M79-Loans!M84</f>
        <v>0</v>
      </c>
    </row>
    <row r="40" spans="2:12">
      <c r="B40" s="20" t="s">
        <v>77</v>
      </c>
      <c r="C40" s="8">
        <f>Loans!D59-Loans!D64</f>
        <v>0</v>
      </c>
      <c r="D40" s="8">
        <f>Loans!E59-Loans!E64</f>
        <v>0</v>
      </c>
      <c r="E40" s="8">
        <f>Loans!F59-Loans!F64</f>
        <v>29071.80232864822</v>
      </c>
      <c r="F40" s="8">
        <f>Loans!G59-Loans!G64</f>
        <v>27482.476750442369</v>
      </c>
      <c r="G40" s="8">
        <f>Loans!H59-Loans!H64</f>
        <v>25829.578149108285</v>
      </c>
      <c r="H40" s="8">
        <f>Loans!I59-Loans!I64</f>
        <v>24110.563603720839</v>
      </c>
      <c r="I40" s="8">
        <f>Loans!J59-Loans!J64</f>
        <v>22322.788476517893</v>
      </c>
      <c r="J40" s="8">
        <f>Loans!K59-Loans!K64</f>
        <v>20463.502344226828</v>
      </c>
      <c r="K40" s="8">
        <f>Loans!L59-Loans!L64</f>
        <v>18529.844766644121</v>
      </c>
      <c r="L40" s="8">
        <f>Loans!M59-Loans!M64</f>
        <v>16518.840885958107</v>
      </c>
    </row>
    <row r="41" spans="2:12">
      <c r="B41" s="20" t="s">
        <v>135</v>
      </c>
      <c r="C41" s="132">
        <f>Loans!D29-Loans!D34</f>
        <v>0</v>
      </c>
      <c r="D41" s="132">
        <f>Loans!E29-Loans!E34</f>
        <v>0</v>
      </c>
      <c r="E41" s="132">
        <f>Loans!F29-Loans!F34</f>
        <v>3276.1008074869278</v>
      </c>
      <c r="F41" s="132">
        <f>Loans!G29-Loans!G34</f>
        <v>2516.006655348202</v>
      </c>
      <c r="G41" s="132">
        <f>Loans!H29-Loans!H34</f>
        <v>1717.9077956025396</v>
      </c>
      <c r="H41" s="132">
        <f>Loans!I29-Loans!I34</f>
        <v>879.90399286959416</v>
      </c>
      <c r="I41" s="132">
        <f>Loans!J29-Loans!J34</f>
        <v>1.4779288903810084E-12</v>
      </c>
      <c r="J41" s="132">
        <f>Loans!K29-Loans!K34</f>
        <v>0</v>
      </c>
      <c r="K41" s="132">
        <f>Loans!L29-Loans!L34</f>
        <v>0</v>
      </c>
      <c r="L41" s="132">
        <f>Loans!M29-Loans!M34</f>
        <v>0</v>
      </c>
    </row>
    <row r="42" spans="2:12">
      <c r="B42" s="20" t="s">
        <v>78</v>
      </c>
      <c r="C42" s="8">
        <f>Loans!D99-Loans!D104</f>
        <v>0</v>
      </c>
      <c r="D42" s="8">
        <f>Loans!E99-Loans!E104</f>
        <v>0</v>
      </c>
      <c r="E42" s="8">
        <f>Loans!F99-Loans!F104</f>
        <v>0</v>
      </c>
      <c r="F42" s="8">
        <f>Loans!G99-Loans!G104</f>
        <v>0</v>
      </c>
      <c r="G42" s="8">
        <f>Loans!H99-Loans!H104</f>
        <v>0</v>
      </c>
      <c r="H42" s="8">
        <f>Loans!I99-Loans!I104</f>
        <v>0</v>
      </c>
      <c r="I42" s="8">
        <f>Loans!J99-Loans!J104</f>
        <v>0</v>
      </c>
      <c r="J42" s="8">
        <f>Loans!K99-Loans!K104</f>
        <v>52040.940271709776</v>
      </c>
      <c r="K42" s="8">
        <f>Loans!L99-Loans!L104</f>
        <v>50018.211102250127</v>
      </c>
      <c r="L42" s="8">
        <f>Loans!M99-Loans!M104</f>
        <v>47929.743234783033</v>
      </c>
    </row>
    <row r="43" spans="2:12">
      <c r="B43" s="20" t="s">
        <v>260</v>
      </c>
      <c r="C43" s="132">
        <f>Loans!D109-Loans!D114</f>
        <v>0</v>
      </c>
      <c r="D43" s="132">
        <f>Loans!E109-Loans!E114</f>
        <v>0</v>
      </c>
      <c r="E43" s="132">
        <f>Loans!F109-Loans!F114</f>
        <v>0</v>
      </c>
      <c r="F43" s="132">
        <f>Loans!G109-Loans!G114</f>
        <v>0</v>
      </c>
      <c r="G43" s="132">
        <f>Loans!H109-Loans!H114</f>
        <v>0</v>
      </c>
      <c r="H43" s="132">
        <f>Loans!I109-Loans!I114</f>
        <v>0</v>
      </c>
      <c r="I43" s="132">
        <f>Loans!J109-Loans!J114</f>
        <v>0</v>
      </c>
      <c r="J43" s="132">
        <f>Loans!K109-Loans!K114</f>
        <v>0</v>
      </c>
      <c r="K43" s="132">
        <f>Loans!L109-Loans!L114</f>
        <v>3217.0279908586458</v>
      </c>
      <c r="L43" s="132">
        <f>Loans!M109-Loans!M114</f>
        <v>1634.2343914201977</v>
      </c>
    </row>
    <row r="44" spans="2:12">
      <c r="B44" s="10" t="s">
        <v>2</v>
      </c>
      <c r="C44" s="96">
        <v>0</v>
      </c>
      <c r="D44" s="96">
        <v>0</v>
      </c>
      <c r="E44" s="96">
        <v>0</v>
      </c>
      <c r="F44" s="96">
        <v>0</v>
      </c>
      <c r="G44" s="96">
        <v>0</v>
      </c>
      <c r="H44" s="96">
        <v>0</v>
      </c>
      <c r="I44" s="96">
        <v>0</v>
      </c>
      <c r="J44" s="96">
        <v>0</v>
      </c>
      <c r="K44" s="96">
        <v>0</v>
      </c>
      <c r="L44" s="96">
        <v>0</v>
      </c>
    </row>
    <row r="45" spans="2:12">
      <c r="B45" s="1" t="s">
        <v>19</v>
      </c>
      <c r="C45" s="8">
        <f t="shared" ref="C45:L45" si="12">SUM(C36:C44)</f>
        <v>3908.52253605844</v>
      </c>
      <c r="D45" s="8">
        <f t="shared" si="12"/>
        <v>2652.4856508357129</v>
      </c>
      <c r="E45" s="8">
        <f t="shared" si="12"/>
        <v>33698.125015219965</v>
      </c>
      <c r="F45" s="8">
        <f t="shared" si="12"/>
        <v>29998.483405790572</v>
      </c>
      <c r="G45" s="8">
        <f t="shared" si="12"/>
        <v>55584.713123880938</v>
      </c>
      <c r="H45" s="8">
        <f t="shared" si="12"/>
        <v>47480.003089286009</v>
      </c>
      <c r="I45" s="8">
        <f t="shared" si="12"/>
        <v>38963.163666299355</v>
      </c>
      <c r="J45" s="8">
        <f t="shared" si="12"/>
        <v>82976.613820482773</v>
      </c>
      <c r="K45" s="8">
        <f t="shared" si="12"/>
        <v>75731.340098458997</v>
      </c>
      <c r="L45" s="8">
        <f t="shared" si="12"/>
        <v>66082.818512161335</v>
      </c>
    </row>
    <row r="46" spans="2:12" ht="13.5" thickBot="1">
      <c r="B46" s="18"/>
      <c r="C46" s="19"/>
      <c r="D46" s="19"/>
      <c r="E46" s="19"/>
      <c r="F46" s="19"/>
      <c r="G46" s="19"/>
      <c r="H46" s="19"/>
      <c r="I46" s="19"/>
      <c r="J46" s="19"/>
      <c r="K46" s="19"/>
      <c r="L46" s="19"/>
    </row>
    <row r="47" spans="2:12" ht="13.5" thickTop="1">
      <c r="B47" s="27" t="s">
        <v>21</v>
      </c>
      <c r="C47" s="22">
        <f t="shared" ref="C47:L47" si="13">C33+C45</f>
        <v>5316</v>
      </c>
      <c r="D47" s="22">
        <f t="shared" si="13"/>
        <v>4104.52253605844</v>
      </c>
      <c r="E47" s="22">
        <f t="shared" si="13"/>
        <v>37448.485650835712</v>
      </c>
      <c r="F47" s="22">
        <f t="shared" si="13"/>
        <v>33894.125015219965</v>
      </c>
      <c r="G47" s="22">
        <f t="shared" si="13"/>
        <v>63494.483405790583</v>
      </c>
      <c r="H47" s="22">
        <f t="shared" si="13"/>
        <v>55780.713123880931</v>
      </c>
      <c r="I47" s="22">
        <f t="shared" si="13"/>
        <v>47676.003089286009</v>
      </c>
      <c r="J47" s="22">
        <f t="shared" si="13"/>
        <v>93159.163666299355</v>
      </c>
      <c r="K47" s="22">
        <f t="shared" si="13"/>
        <v>87922.613820482788</v>
      </c>
      <c r="L47" s="22">
        <f t="shared" si="13"/>
        <v>75927.340098458983</v>
      </c>
    </row>
    <row r="48" spans="2:12" ht="13.5" thickBot="1">
      <c r="B48" s="18"/>
      <c r="C48" s="19"/>
      <c r="D48" s="19"/>
      <c r="E48" s="19"/>
      <c r="F48" s="19"/>
      <c r="G48" s="19"/>
      <c r="H48" s="19"/>
      <c r="I48" s="19"/>
      <c r="J48" s="19"/>
      <c r="K48" s="19"/>
      <c r="L48" s="19"/>
    </row>
    <row r="49" spans="2:12" ht="16.5" thickTop="1">
      <c r="B49" s="28" t="s">
        <v>22</v>
      </c>
      <c r="C49" s="29">
        <f t="shared" ref="C49:L49" si="14">C19-C47</f>
        <v>15999.857142857145</v>
      </c>
      <c r="D49" s="29">
        <f t="shared" si="14"/>
        <v>22993.520235589396</v>
      </c>
      <c r="E49" s="29">
        <f t="shared" si="14"/>
        <v>27165.353553004519</v>
      </c>
      <c r="F49" s="29">
        <f t="shared" si="14"/>
        <v>36250.475519160231</v>
      </c>
      <c r="G49" s="29">
        <f t="shared" si="14"/>
        <v>45169.61225526988</v>
      </c>
      <c r="H49" s="29">
        <f t="shared" si="14"/>
        <v>33144.73352275935</v>
      </c>
      <c r="I49" s="29">
        <f t="shared" si="14"/>
        <v>39312.489101848347</v>
      </c>
      <c r="J49" s="29">
        <f t="shared" si="14"/>
        <v>44793.718045070636</v>
      </c>
      <c r="K49" s="29">
        <f t="shared" si="14"/>
        <v>51620.899911987202</v>
      </c>
      <c r="L49" s="29">
        <f t="shared" si="14"/>
        <v>60538.984650720406</v>
      </c>
    </row>
    <row r="51" spans="2:12">
      <c r="D51" s="132"/>
    </row>
  </sheetData>
  <mergeCells count="2">
    <mergeCell ref="B1:L1"/>
    <mergeCell ref="B2:L2"/>
  </mergeCells>
  <pageMargins left="0.7" right="0.7" top="0.75" bottom="0.75" header="0.3" footer="0.3"/>
  <pageSetup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dimension ref="B1:L45"/>
  <sheetViews>
    <sheetView topLeftCell="A4" workbookViewId="0"/>
  </sheetViews>
  <sheetFormatPr defaultRowHeight="12.75"/>
  <cols>
    <col min="1" max="1" width="4.7109375" style="2" customWidth="1"/>
    <col min="2" max="2" width="35.7109375" style="2" customWidth="1"/>
    <col min="3" max="12" width="12.7109375" style="2" customWidth="1"/>
    <col min="13" max="16384" width="9.140625" style="2"/>
  </cols>
  <sheetData>
    <row r="1" spans="2:12" ht="15" customHeight="1">
      <c r="B1" s="155" t="s">
        <v>81</v>
      </c>
      <c r="C1" s="155"/>
      <c r="D1" s="155"/>
      <c r="E1" s="155"/>
      <c r="F1" s="155"/>
      <c r="G1" s="155"/>
      <c r="H1" s="155"/>
      <c r="I1" s="155"/>
      <c r="J1" s="155"/>
      <c r="K1" s="155"/>
      <c r="L1" s="155"/>
    </row>
    <row r="2" spans="2:12">
      <c r="B2" s="156" t="s">
        <v>151</v>
      </c>
      <c r="C2" s="156"/>
      <c r="D2" s="156"/>
      <c r="E2" s="156"/>
      <c r="F2" s="156"/>
      <c r="G2" s="156"/>
      <c r="H2" s="156"/>
      <c r="I2" s="156"/>
      <c r="J2" s="156"/>
      <c r="K2" s="156"/>
      <c r="L2" s="156"/>
    </row>
    <row r="4" spans="2:12" ht="13.5" thickBot="1">
      <c r="C4" s="7" t="s">
        <v>23</v>
      </c>
      <c r="D4" s="7" t="s">
        <v>24</v>
      </c>
      <c r="E4" s="7" t="s">
        <v>25</v>
      </c>
      <c r="F4" s="7" t="s">
        <v>26</v>
      </c>
      <c r="G4" s="7" t="s">
        <v>27</v>
      </c>
      <c r="H4" s="7" t="s">
        <v>28</v>
      </c>
      <c r="I4" s="7" t="s">
        <v>29</v>
      </c>
      <c r="J4" s="7" t="s">
        <v>30</v>
      </c>
      <c r="K4" s="7" t="s">
        <v>31</v>
      </c>
      <c r="L4" s="7" t="s">
        <v>32</v>
      </c>
    </row>
    <row r="5" spans="2:12">
      <c r="B5" s="2" t="s">
        <v>0</v>
      </c>
    </row>
    <row r="6" spans="2:12">
      <c r="B6" s="1" t="s">
        <v>1</v>
      </c>
      <c r="C6" s="141">
        <v>500</v>
      </c>
      <c r="D6" s="132">
        <f>C6+'Income Statements'!D31+'Income Statements'!D47</f>
        <v>12891.059421281167</v>
      </c>
      <c r="E6" s="132">
        <f>D6+'Income Statements'!E31+'Income Statements'!E47</f>
        <v>14101.270729090502</v>
      </c>
      <c r="F6" s="132">
        <f>E6+'Income Statements'!F31+'Income Statements'!F47</f>
        <v>30748.598260713483</v>
      </c>
      <c r="G6" s="132">
        <f>F6+'Income Statements'!G31+'Income Statements'!G47</f>
        <v>43782.258745428378</v>
      </c>
      <c r="H6" s="132">
        <f>G6+'Income Statements'!H31+'Income Statements'!H47</f>
        <v>36033.665727203552</v>
      </c>
      <c r="I6" s="132">
        <f>H6+'Income Statements'!I31+'Income Statements'!I47</f>
        <v>51296.255428964207</v>
      </c>
      <c r="J6" s="132">
        <f>I6+'Income Statements'!J31+'Income Statements'!J47</f>
        <v>65277.52601595108</v>
      </c>
      <c r="K6" s="132">
        <f>J6+'Income Statements'!K31+'Income Statements'!K47</f>
        <v>75395.374143085908</v>
      </c>
      <c r="L6" s="132">
        <f>K6+'Income Statements'!L31+'Income Statements'!L47</f>
        <v>97238.843408209621</v>
      </c>
    </row>
    <row r="7" spans="2:12">
      <c r="B7" s="1" t="s">
        <v>12</v>
      </c>
      <c r="C7" s="74">
        <v>0</v>
      </c>
      <c r="D7" s="141">
        <v>0</v>
      </c>
      <c r="E7" s="141">
        <v>0</v>
      </c>
      <c r="F7" s="141">
        <v>0</v>
      </c>
      <c r="G7" s="141">
        <v>0</v>
      </c>
      <c r="H7" s="141">
        <v>0</v>
      </c>
      <c r="I7" s="141">
        <v>0</v>
      </c>
      <c r="J7" s="141">
        <v>0</v>
      </c>
      <c r="K7" s="141">
        <v>0</v>
      </c>
      <c r="L7" s="141">
        <v>0</v>
      </c>
    </row>
    <row r="8" spans="2:12">
      <c r="B8" s="10" t="s">
        <v>2</v>
      </c>
      <c r="C8" s="96">
        <v>0</v>
      </c>
      <c r="D8" s="96">
        <v>0</v>
      </c>
      <c r="E8" s="96">
        <v>0</v>
      </c>
      <c r="F8" s="96">
        <v>0</v>
      </c>
      <c r="G8" s="96">
        <v>0</v>
      </c>
      <c r="H8" s="96">
        <v>0</v>
      </c>
      <c r="I8" s="96">
        <v>0</v>
      </c>
      <c r="J8" s="96">
        <v>0</v>
      </c>
      <c r="K8" s="96">
        <v>0</v>
      </c>
      <c r="L8" s="96">
        <v>0</v>
      </c>
    </row>
    <row r="9" spans="2:12">
      <c r="B9" s="1" t="s">
        <v>3</v>
      </c>
      <c r="C9" s="8">
        <f>SUM(C6:C8)</f>
        <v>500</v>
      </c>
      <c r="D9" s="8">
        <f t="shared" ref="D9:L9" si="0">SUM(D6:D8)</f>
        <v>12891.059421281167</v>
      </c>
      <c r="E9" s="8">
        <f t="shared" si="0"/>
        <v>14101.270729090502</v>
      </c>
      <c r="F9" s="8">
        <f t="shared" si="0"/>
        <v>30748.598260713483</v>
      </c>
      <c r="G9" s="8">
        <f t="shared" si="0"/>
        <v>43782.258745428378</v>
      </c>
      <c r="H9" s="8">
        <f t="shared" si="0"/>
        <v>36033.665727203552</v>
      </c>
      <c r="I9" s="8">
        <f t="shared" si="0"/>
        <v>51296.255428964207</v>
      </c>
      <c r="J9" s="8">
        <f t="shared" si="0"/>
        <v>65277.52601595108</v>
      </c>
      <c r="K9" s="8">
        <f t="shared" si="0"/>
        <v>75395.374143085908</v>
      </c>
      <c r="L9" s="8">
        <f t="shared" si="0"/>
        <v>97238.843408209621</v>
      </c>
    </row>
    <row r="10" spans="2:12">
      <c r="C10" s="8"/>
      <c r="D10" s="8"/>
      <c r="E10" s="8"/>
      <c r="F10" s="8"/>
      <c r="G10" s="8"/>
      <c r="H10" s="8"/>
      <c r="I10" s="8"/>
      <c r="J10" s="8"/>
      <c r="K10" s="8"/>
      <c r="L10" s="8"/>
    </row>
    <row r="11" spans="2:12">
      <c r="B11" s="2" t="s">
        <v>4</v>
      </c>
      <c r="C11" s="8"/>
      <c r="D11" s="8"/>
      <c r="E11" s="8"/>
      <c r="F11" s="8"/>
      <c r="G11" s="8"/>
      <c r="H11" s="8"/>
      <c r="I11" s="8"/>
      <c r="J11" s="8"/>
      <c r="K11" s="8"/>
      <c r="L11" s="8"/>
    </row>
    <row r="12" spans="2:12">
      <c r="B12" s="1" t="s">
        <v>7</v>
      </c>
      <c r="C12" s="8">
        <f>'Assets+Depr'!G11</f>
        <v>4642.8571428571431</v>
      </c>
      <c r="D12" s="8">
        <f>'Assets+Depr'!H11</f>
        <v>3928.5714285714289</v>
      </c>
      <c r="E12" s="8">
        <f>'Assets+Depr'!I11</f>
        <v>3214.2857142857147</v>
      </c>
      <c r="F12" s="8">
        <f>'Assets+Depr'!J11</f>
        <v>2500.0000000000005</v>
      </c>
      <c r="G12" s="8">
        <f>'Assets+Depr'!K11</f>
        <v>25535.714285714286</v>
      </c>
      <c r="H12" s="8">
        <f>'Assets+Depr'!L11</f>
        <v>22321.428571428572</v>
      </c>
      <c r="I12" s="8">
        <f>'Assets+Depr'!M11</f>
        <v>19107.142857142859</v>
      </c>
      <c r="J12" s="8">
        <f>'Assets+Depr'!N11</f>
        <v>16250</v>
      </c>
      <c r="K12" s="8">
        <f>'Assets+Depr'!O11</f>
        <v>13750</v>
      </c>
      <c r="L12" s="8">
        <f>'Assets+Depr'!P11</f>
        <v>11250</v>
      </c>
    </row>
    <row r="13" spans="2:12">
      <c r="B13" s="1" t="s">
        <v>8</v>
      </c>
      <c r="C13" s="8">
        <f>3*200</f>
        <v>600</v>
      </c>
      <c r="D13" s="8">
        <f>3*200</f>
        <v>600</v>
      </c>
      <c r="E13" s="8">
        <f>(13*200)+500</f>
        <v>3100</v>
      </c>
      <c r="F13" s="8">
        <f t="shared" ref="F13:G13" si="1">(13*200)+500</f>
        <v>3100</v>
      </c>
      <c r="G13" s="8">
        <f t="shared" si="1"/>
        <v>3100</v>
      </c>
      <c r="H13" s="8">
        <f>(13*200)+750</f>
        <v>3350</v>
      </c>
      <c r="I13" s="8">
        <f t="shared" ref="I13:J13" si="2">(13*200)+750</f>
        <v>3350</v>
      </c>
      <c r="J13" s="8">
        <f t="shared" si="2"/>
        <v>3350</v>
      </c>
      <c r="K13" s="8">
        <f>((3+10+24)*200)+575+1200</f>
        <v>9175</v>
      </c>
      <c r="L13" s="8">
        <f>((3+10+24)*200)+575+1200</f>
        <v>9175</v>
      </c>
    </row>
    <row r="14" spans="2:12">
      <c r="B14" s="1" t="s">
        <v>40</v>
      </c>
      <c r="C14" s="8">
        <v>0</v>
      </c>
      <c r="D14" s="8">
        <v>0</v>
      </c>
      <c r="E14" s="8">
        <v>0</v>
      </c>
      <c r="F14" s="8">
        <v>0</v>
      </c>
      <c r="G14" s="8">
        <f>9850+800</f>
        <v>10650</v>
      </c>
      <c r="H14" s="8">
        <f t="shared" ref="H14:J14" si="3">9850+800</f>
        <v>10650</v>
      </c>
      <c r="I14" s="8">
        <f t="shared" si="3"/>
        <v>10650</v>
      </c>
      <c r="J14" s="8">
        <f t="shared" si="3"/>
        <v>10650</v>
      </c>
      <c r="K14" s="8">
        <f>9850+800+1200</f>
        <v>11850</v>
      </c>
      <c r="L14" s="8">
        <f>9850+800+1200</f>
        <v>11850</v>
      </c>
    </row>
    <row r="15" spans="2:12">
      <c r="B15" s="1" t="s">
        <v>9</v>
      </c>
      <c r="C15" s="8">
        <f>720+675</f>
        <v>1395</v>
      </c>
      <c r="D15" s="8">
        <f t="shared" ref="D15" si="4">720+675</f>
        <v>1395</v>
      </c>
      <c r="E15" s="8">
        <f>720+675+2500</f>
        <v>3895</v>
      </c>
      <c r="F15" s="8">
        <f t="shared" ref="F15:I15" si="5">720+675+2500</f>
        <v>3895</v>
      </c>
      <c r="G15" s="8">
        <f t="shared" si="5"/>
        <v>3895</v>
      </c>
      <c r="H15" s="8">
        <f t="shared" si="5"/>
        <v>3895</v>
      </c>
      <c r="I15" s="8">
        <f t="shared" si="5"/>
        <v>3895</v>
      </c>
      <c r="J15" s="8">
        <f>720+675+2500+14000</f>
        <v>17895</v>
      </c>
      <c r="K15" s="8">
        <f t="shared" ref="K15:L15" si="6">720+675+2500+14000</f>
        <v>17895</v>
      </c>
      <c r="L15" s="8">
        <f t="shared" si="6"/>
        <v>17895</v>
      </c>
    </row>
    <row r="16" spans="2:12">
      <c r="B16" s="10" t="s">
        <v>5</v>
      </c>
      <c r="C16" s="12">
        <f>'Assets+Depr'!G40</f>
        <v>8400</v>
      </c>
      <c r="D16" s="12">
        <f>'Assets+Depr'!H40</f>
        <v>8400</v>
      </c>
      <c r="E16" s="12">
        <f>'Assets+Depr'!I40</f>
        <v>42400</v>
      </c>
      <c r="F16" s="12">
        <f>'Assets+Depr'!J40</f>
        <v>42400</v>
      </c>
      <c r="G16" s="12">
        <f>'Assets+Depr'!K40</f>
        <v>42400</v>
      </c>
      <c r="H16" s="12">
        <f>'Assets+Depr'!L40</f>
        <v>42400</v>
      </c>
      <c r="I16" s="12">
        <f>'Assets+Depr'!M40</f>
        <v>42400</v>
      </c>
      <c r="J16" s="12">
        <f>'Assets+Depr'!N40</f>
        <v>82400</v>
      </c>
      <c r="K16" s="12">
        <f>'Assets+Depr'!O40</f>
        <v>82400</v>
      </c>
      <c r="L16" s="12">
        <f>'Assets+Depr'!P40</f>
        <v>82400</v>
      </c>
    </row>
    <row r="17" spans="2:12">
      <c r="B17" s="1" t="s">
        <v>10</v>
      </c>
      <c r="C17" s="8">
        <f t="shared" ref="C17:L17" si="7">SUM(C12:C16)</f>
        <v>15037.857142857143</v>
      </c>
      <c r="D17" s="8">
        <f t="shared" si="7"/>
        <v>14323.571428571429</v>
      </c>
      <c r="E17" s="8">
        <f t="shared" si="7"/>
        <v>52609.28571428571</v>
      </c>
      <c r="F17" s="8">
        <f t="shared" si="7"/>
        <v>51895</v>
      </c>
      <c r="G17" s="8">
        <f t="shared" si="7"/>
        <v>85580.71428571429</v>
      </c>
      <c r="H17" s="8">
        <f t="shared" si="7"/>
        <v>82616.42857142858</v>
      </c>
      <c r="I17" s="8">
        <f t="shared" si="7"/>
        <v>79402.142857142855</v>
      </c>
      <c r="J17" s="8">
        <f t="shared" si="7"/>
        <v>130545</v>
      </c>
      <c r="K17" s="8">
        <f t="shared" si="7"/>
        <v>135070</v>
      </c>
      <c r="L17" s="8">
        <f t="shared" si="7"/>
        <v>132570</v>
      </c>
    </row>
    <row r="18" spans="2:12" ht="13.5" thickBot="1">
      <c r="B18" s="18"/>
      <c r="C18" s="19"/>
      <c r="D18" s="19"/>
      <c r="E18" s="19"/>
      <c r="F18" s="19"/>
      <c r="G18" s="19"/>
      <c r="H18" s="19"/>
      <c r="I18" s="19"/>
      <c r="J18" s="19"/>
      <c r="K18" s="19"/>
      <c r="L18" s="19"/>
    </row>
    <row r="19" spans="2:12" ht="13.5" thickTop="1">
      <c r="B19" s="27" t="s">
        <v>20</v>
      </c>
      <c r="C19" s="22">
        <f t="shared" ref="C19:L19" si="8">C9+C17</f>
        <v>15537.857142857143</v>
      </c>
      <c r="D19" s="22">
        <f t="shared" si="8"/>
        <v>27214.630849852598</v>
      </c>
      <c r="E19" s="22">
        <f t="shared" si="8"/>
        <v>66710.556443376205</v>
      </c>
      <c r="F19" s="22">
        <f t="shared" si="8"/>
        <v>82643.598260713479</v>
      </c>
      <c r="G19" s="22">
        <f t="shared" si="8"/>
        <v>129362.97303114267</v>
      </c>
      <c r="H19" s="22">
        <f t="shared" si="8"/>
        <v>118650.09429863213</v>
      </c>
      <c r="I19" s="22">
        <f t="shared" si="8"/>
        <v>130698.39828610705</v>
      </c>
      <c r="J19" s="22">
        <f t="shared" si="8"/>
        <v>195822.52601595107</v>
      </c>
      <c r="K19" s="22">
        <f t="shared" si="8"/>
        <v>210465.37414308591</v>
      </c>
      <c r="L19" s="22">
        <f t="shared" si="8"/>
        <v>229808.84340820962</v>
      </c>
    </row>
    <row r="20" spans="2:12">
      <c r="C20" s="8"/>
      <c r="D20" s="8"/>
      <c r="E20" s="8"/>
      <c r="F20" s="8"/>
      <c r="G20" s="8"/>
      <c r="H20" s="8"/>
      <c r="I20" s="8"/>
      <c r="J20" s="8"/>
      <c r="K20" s="8"/>
      <c r="L20" s="8"/>
    </row>
    <row r="21" spans="2:12">
      <c r="B21" s="2" t="s">
        <v>11</v>
      </c>
      <c r="C21" s="8"/>
      <c r="D21" s="8"/>
      <c r="E21" s="8"/>
      <c r="F21" s="8"/>
      <c r="G21" s="8"/>
      <c r="H21" s="8"/>
      <c r="I21" s="8"/>
      <c r="J21" s="8"/>
      <c r="K21" s="8"/>
      <c r="L21" s="8"/>
    </row>
    <row r="22" spans="2:12">
      <c r="B22" s="1" t="s">
        <v>12</v>
      </c>
      <c r="C22" s="74">
        <v>0</v>
      </c>
      <c r="D22" s="74">
        <v>0</v>
      </c>
      <c r="E22" s="74">
        <v>0</v>
      </c>
      <c r="F22" s="74">
        <v>0</v>
      </c>
      <c r="G22" s="74">
        <v>0</v>
      </c>
      <c r="H22" s="74">
        <v>0</v>
      </c>
      <c r="I22" s="74">
        <v>0</v>
      </c>
      <c r="J22" s="74">
        <v>0</v>
      </c>
      <c r="K22" s="74">
        <v>0</v>
      </c>
      <c r="L22" s="74">
        <v>0</v>
      </c>
    </row>
    <row r="23" spans="2:12">
      <c r="B23" s="1" t="s">
        <v>13</v>
      </c>
      <c r="C23" s="8"/>
      <c r="D23" s="8"/>
      <c r="E23" s="8"/>
      <c r="F23" s="8"/>
      <c r="G23" s="8"/>
      <c r="H23" s="8"/>
      <c r="I23" s="8"/>
      <c r="J23" s="8"/>
      <c r="K23" s="8"/>
      <c r="L23" s="8"/>
    </row>
    <row r="24" spans="2:12">
      <c r="B24" s="20" t="s">
        <v>14</v>
      </c>
      <c r="C24" s="8">
        <f>Loans!D14</f>
        <v>143.84733621414694</v>
      </c>
      <c r="D24" s="8">
        <f>Loans!E14</f>
        <v>151.03970302485428</v>
      </c>
      <c r="E24" s="8">
        <f>Loans!F14</f>
        <v>158.59168817609699</v>
      </c>
      <c r="F24" s="8">
        <f>Loans!G14</f>
        <v>166.52127258490185</v>
      </c>
      <c r="G24" s="8">
        <f>Loans!H14</f>
        <v>0</v>
      </c>
      <c r="H24" s="8">
        <f>Loans!I14</f>
        <v>0</v>
      </c>
      <c r="I24" s="8">
        <f>Loans!J14</f>
        <v>0</v>
      </c>
      <c r="J24" s="8">
        <f>Loans!K14</f>
        <v>0</v>
      </c>
      <c r="K24" s="8">
        <f>Loans!L14</f>
        <v>0</v>
      </c>
      <c r="L24" s="8">
        <f>Loans!M14</f>
        <v>0</v>
      </c>
    </row>
    <row r="25" spans="2:12">
      <c r="B25" s="20" t="s">
        <v>15</v>
      </c>
      <c r="C25" s="8">
        <f>Loans!D24</f>
        <v>1067.6301277274133</v>
      </c>
      <c r="D25" s="8">
        <f>Loans!E24</f>
        <v>1104.9971821978727</v>
      </c>
      <c r="E25" s="8">
        <f>Loans!F24</f>
        <v>1143.6720835747983</v>
      </c>
      <c r="F25" s="8">
        <f>Loans!G24</f>
        <v>1183.7006064999161</v>
      </c>
      <c r="G25" s="8">
        <f>Loans!H24</f>
        <v>0</v>
      </c>
      <c r="H25" s="8">
        <f>Loans!I24</f>
        <v>0</v>
      </c>
      <c r="I25" s="8">
        <f>Loans!J24</f>
        <v>0</v>
      </c>
      <c r="J25" s="8">
        <f>Loans!K24</f>
        <v>0</v>
      </c>
      <c r="K25" s="8">
        <f>Loans!L24</f>
        <v>0</v>
      </c>
      <c r="L25" s="8">
        <f>Loans!M24</f>
        <v>0</v>
      </c>
    </row>
    <row r="26" spans="2:12">
      <c r="B26" s="20" t="s">
        <v>72</v>
      </c>
      <c r="C26" s="8">
        <f>Loans!D74</f>
        <v>0</v>
      </c>
      <c r="D26" s="8">
        <f>Loans!E74</f>
        <v>0</v>
      </c>
      <c r="E26" s="8">
        <f>Loans!F74</f>
        <v>0</v>
      </c>
      <c r="F26" s="8">
        <f>Loans!G74</f>
        <v>0</v>
      </c>
      <c r="G26" s="8">
        <f>Loans!H74</f>
        <v>3221.072128851094</v>
      </c>
      <c r="H26" s="8">
        <f>Loans!I74</f>
        <v>3357.9676943272652</v>
      </c>
      <c r="I26" s="8">
        <f>Loans!J74</f>
        <v>3500.6813213361743</v>
      </c>
      <c r="J26" s="8">
        <f>Loans!K74</f>
        <v>3649.4602774929617</v>
      </c>
      <c r="K26" s="8">
        <f>Loans!L74</f>
        <v>3804.5623392864127</v>
      </c>
      <c r="L26" s="8">
        <f>Loans!M74</f>
        <v>3966.2562387060852</v>
      </c>
    </row>
    <row r="27" spans="2:12">
      <c r="B27" s="20" t="s">
        <v>76</v>
      </c>
      <c r="C27" s="8">
        <f>Loans!D84</f>
        <v>0</v>
      </c>
      <c r="D27" s="8">
        <f>Loans!E84</f>
        <v>0</v>
      </c>
      <c r="E27" s="8">
        <f>Loans!F84</f>
        <v>0</v>
      </c>
      <c r="F27" s="8">
        <f>Loans!G84</f>
        <v>0</v>
      </c>
      <c r="G27" s="8">
        <f>Loans!H84</f>
        <v>2041.7006919787996</v>
      </c>
      <c r="H27" s="8">
        <f>Loans!I84</f>
        <v>2189.7239921472628</v>
      </c>
      <c r="I27" s="8">
        <f>Loans!J84</f>
        <v>2348.4789815779391</v>
      </c>
      <c r="J27" s="8">
        <f>Loans!K84</f>
        <v>2518.7437077423397</v>
      </c>
      <c r="K27" s="8">
        <f>Loans!L84</f>
        <v>2701.3526265536593</v>
      </c>
      <c r="L27" s="8">
        <f>Loans!M84</f>
        <v>0</v>
      </c>
    </row>
    <row r="28" spans="2:12">
      <c r="B28" s="20" t="s">
        <v>77</v>
      </c>
      <c r="C28" s="8">
        <f>Loans!D64</f>
        <v>0</v>
      </c>
      <c r="D28" s="8">
        <f>Loans!E64</f>
        <v>0</v>
      </c>
      <c r="E28" s="8">
        <f>Loans!F64</f>
        <v>1528.1976713517797</v>
      </c>
      <c r="F28" s="8">
        <f>Loans!G64</f>
        <v>1589.3255782058509</v>
      </c>
      <c r="G28" s="8">
        <f>Loans!H64</f>
        <v>1652.898601334085</v>
      </c>
      <c r="H28" s="8">
        <f>Loans!I64</f>
        <v>1719.0145453874484</v>
      </c>
      <c r="I28" s="8">
        <f>Loans!J64</f>
        <v>1787.7751272029461</v>
      </c>
      <c r="J28" s="8">
        <f>Loans!K64</f>
        <v>1859.286132291064</v>
      </c>
      <c r="K28" s="8">
        <f>Loans!L64</f>
        <v>1933.6575775827066</v>
      </c>
      <c r="L28" s="8">
        <f>Loans!M64</f>
        <v>2011.0038806860148</v>
      </c>
    </row>
    <row r="29" spans="2:12">
      <c r="B29" s="20" t="s">
        <v>78</v>
      </c>
      <c r="C29" s="8">
        <f>Loans!D104</f>
        <v>0</v>
      </c>
      <c r="D29" s="8">
        <f>Loans!E104</f>
        <v>0</v>
      </c>
      <c r="E29" s="8">
        <f>Loans!F104</f>
        <v>0</v>
      </c>
      <c r="F29" s="8">
        <f>Loans!G104</f>
        <v>0</v>
      </c>
      <c r="G29" s="8">
        <f>Loans!H104</f>
        <v>0</v>
      </c>
      <c r="H29" s="8">
        <f>Loans!I104</f>
        <v>0</v>
      </c>
      <c r="I29" s="8">
        <f>Loans!J104</f>
        <v>0</v>
      </c>
      <c r="J29" s="8">
        <f>Loans!K104</f>
        <v>1959.0597282902204</v>
      </c>
      <c r="K29" s="8">
        <f>Loans!L104</f>
        <v>2022.7291694596527</v>
      </c>
      <c r="L29" s="8">
        <f>Loans!M104</f>
        <v>2088.4678674670913</v>
      </c>
    </row>
    <row r="30" spans="2:12">
      <c r="B30" s="10" t="s">
        <v>16</v>
      </c>
      <c r="C30" s="12">
        <v>30</v>
      </c>
      <c r="D30" s="12">
        <v>30</v>
      </c>
      <c r="E30" s="12">
        <f>30+(40*3)</f>
        <v>150</v>
      </c>
      <c r="F30" s="12">
        <f t="shared" ref="F30:J30" si="9">30+(40*3)</f>
        <v>150</v>
      </c>
      <c r="G30" s="12">
        <f t="shared" si="9"/>
        <v>150</v>
      </c>
      <c r="H30" s="12">
        <f t="shared" si="9"/>
        <v>150</v>
      </c>
      <c r="I30" s="12">
        <f t="shared" si="9"/>
        <v>150</v>
      </c>
      <c r="J30" s="12">
        <f t="shared" si="9"/>
        <v>150</v>
      </c>
      <c r="K30" s="12">
        <f>30+(40*3)+(65*8)</f>
        <v>670</v>
      </c>
      <c r="L30" s="12">
        <f>30+(40*3)+(65*8)</f>
        <v>670</v>
      </c>
    </row>
    <row r="31" spans="2:12">
      <c r="B31" s="1" t="s">
        <v>17</v>
      </c>
      <c r="C31" s="8">
        <f>SUM(C22:C30)</f>
        <v>1241.4774639415602</v>
      </c>
      <c r="D31" s="8">
        <f t="shared" ref="D31:L31" si="10">SUM(D22:D30)</f>
        <v>1286.0368852227271</v>
      </c>
      <c r="E31" s="8">
        <f t="shared" si="10"/>
        <v>2980.4614431026748</v>
      </c>
      <c r="F31" s="8">
        <f t="shared" si="10"/>
        <v>3089.5474572906687</v>
      </c>
      <c r="G31" s="8">
        <f t="shared" si="10"/>
        <v>7065.6714221639795</v>
      </c>
      <c r="H31" s="8">
        <f t="shared" si="10"/>
        <v>7416.7062318619764</v>
      </c>
      <c r="I31" s="8">
        <f t="shared" si="10"/>
        <v>7786.9354301170597</v>
      </c>
      <c r="J31" s="8">
        <f t="shared" si="10"/>
        <v>10136.549845816586</v>
      </c>
      <c r="K31" s="8">
        <f t="shared" si="10"/>
        <v>11132.301712882432</v>
      </c>
      <c r="L31" s="8">
        <f t="shared" si="10"/>
        <v>8735.7279868591904</v>
      </c>
    </row>
    <row r="32" spans="2:12">
      <c r="B32" s="1"/>
      <c r="C32" s="8"/>
      <c r="D32" s="8"/>
      <c r="E32" s="8"/>
      <c r="F32" s="8"/>
      <c r="G32" s="8"/>
      <c r="H32" s="8"/>
      <c r="I32" s="8"/>
      <c r="J32" s="8"/>
      <c r="K32" s="8"/>
      <c r="L32" s="8"/>
    </row>
    <row r="33" spans="2:12">
      <c r="B33" s="14" t="s">
        <v>18</v>
      </c>
      <c r="C33" s="8"/>
      <c r="D33" s="8"/>
      <c r="E33" s="8"/>
      <c r="F33" s="8"/>
      <c r="G33" s="8"/>
      <c r="H33" s="8"/>
      <c r="I33" s="8"/>
      <c r="J33" s="8"/>
      <c r="K33" s="8"/>
      <c r="L33" s="8"/>
    </row>
    <row r="34" spans="2:12">
      <c r="B34" s="20" t="s">
        <v>14</v>
      </c>
      <c r="C34" s="8">
        <f>Loans!D9-Loans!D14</f>
        <v>476.15266378585306</v>
      </c>
      <c r="D34" s="8">
        <f>Loans!E9-Loans!E14</f>
        <v>325.11296076099882</v>
      </c>
      <c r="E34" s="8">
        <f>Loans!F9-Loans!F14</f>
        <v>166.52127258490182</v>
      </c>
      <c r="F34" s="8">
        <f>Loans!G9-Loans!G14</f>
        <v>0</v>
      </c>
      <c r="G34" s="8">
        <f>Loans!H9-Loans!H14</f>
        <v>0</v>
      </c>
      <c r="H34" s="8">
        <f>Loans!I9-Loans!I14</f>
        <v>0</v>
      </c>
      <c r="I34" s="8">
        <f>Loans!J9-Loans!J14</f>
        <v>0</v>
      </c>
      <c r="J34" s="8">
        <f>Loans!K9-Loans!K14</f>
        <v>0</v>
      </c>
      <c r="K34" s="8">
        <f>Loans!L9-Loans!L14</f>
        <v>0</v>
      </c>
      <c r="L34" s="8">
        <f>Loans!M9-Loans!M14</f>
        <v>0</v>
      </c>
    </row>
    <row r="35" spans="2:12">
      <c r="B35" s="20" t="s">
        <v>15</v>
      </c>
      <c r="C35" s="8">
        <f>Loans!D19-Loans!D24</f>
        <v>3432.3698722725867</v>
      </c>
      <c r="D35" s="8">
        <f>Loans!E19-Loans!E24</f>
        <v>2327.3726900747142</v>
      </c>
      <c r="E35" s="8">
        <f>Loans!F19-Loans!F24</f>
        <v>1183.7006064999159</v>
      </c>
      <c r="F35" s="8">
        <f>Loans!G19-Loans!G24</f>
        <v>0</v>
      </c>
      <c r="G35" s="8">
        <f>Loans!H19-Loans!H24</f>
        <v>0</v>
      </c>
      <c r="H35" s="8">
        <f>Loans!I19-Loans!I24</f>
        <v>0</v>
      </c>
      <c r="I35" s="8">
        <f>Loans!J19-Loans!J24</f>
        <v>0</v>
      </c>
      <c r="J35" s="8">
        <f>Loans!K19-Loans!K24</f>
        <v>0</v>
      </c>
      <c r="K35" s="8">
        <f>Loans!L19-Loans!L24</f>
        <v>0</v>
      </c>
      <c r="L35" s="8">
        <f>Loans!M19-Loans!M24</f>
        <v>0</v>
      </c>
    </row>
    <row r="36" spans="2:12">
      <c r="B36" s="20" t="s">
        <v>72</v>
      </c>
      <c r="C36" s="8">
        <f>Loans!D69-Loans!D74</f>
        <v>0</v>
      </c>
      <c r="D36" s="8">
        <f>Loans!E69-Loans!E74</f>
        <v>0</v>
      </c>
      <c r="E36" s="8">
        <f>Loans!F69-Loans!F74</f>
        <v>0</v>
      </c>
      <c r="F36" s="8">
        <f>Loans!G69-Loans!G74</f>
        <v>0</v>
      </c>
      <c r="G36" s="8">
        <f>Loans!H69-Loans!H74</f>
        <v>18278.927871148906</v>
      </c>
      <c r="H36" s="8">
        <f>Loans!I69-Loans!I74</f>
        <v>14920.960176821642</v>
      </c>
      <c r="I36" s="8">
        <f>Loans!J69-Loans!J74</f>
        <v>11420.278855485467</v>
      </c>
      <c r="J36" s="8">
        <f>Loans!K69-Loans!K74</f>
        <v>7770.8185779925052</v>
      </c>
      <c r="K36" s="8">
        <f>Loans!L69-Loans!L74</f>
        <v>3966.2562387060925</v>
      </c>
      <c r="L36" s="8">
        <f>Loans!M69-Loans!M74</f>
        <v>7.2759576141834259E-12</v>
      </c>
    </row>
    <row r="37" spans="2:12">
      <c r="B37" s="20" t="s">
        <v>76</v>
      </c>
      <c r="C37" s="8">
        <f>Loans!D79-Loans!D84</f>
        <v>0</v>
      </c>
      <c r="D37" s="8">
        <f>Loans!E79-Loans!E84</f>
        <v>0</v>
      </c>
      <c r="E37" s="8">
        <f>Loans!F79-Loans!F84</f>
        <v>0</v>
      </c>
      <c r="F37" s="8">
        <f>Loans!G79-Loans!G84</f>
        <v>0</v>
      </c>
      <c r="G37" s="8">
        <f>Loans!H79-Loans!H84</f>
        <v>9758.2993080212</v>
      </c>
      <c r="H37" s="8">
        <f>Loans!I79-Loans!I84</f>
        <v>7568.5753158739371</v>
      </c>
      <c r="I37" s="8">
        <f>Loans!J79-Loans!J84</f>
        <v>5220.0963342959985</v>
      </c>
      <c r="J37" s="8">
        <f>Loans!K79-Loans!K84</f>
        <v>2701.3526265536589</v>
      </c>
      <c r="K37" s="8">
        <f>Loans!L79-Loans!L84</f>
        <v>0</v>
      </c>
      <c r="L37" s="8">
        <f>Loans!M79-Loans!M84</f>
        <v>0</v>
      </c>
    </row>
    <row r="38" spans="2:12">
      <c r="B38" s="20" t="s">
        <v>77</v>
      </c>
      <c r="C38" s="8">
        <f>Loans!D59-Loans!D64</f>
        <v>0</v>
      </c>
      <c r="D38" s="8">
        <f>Loans!E59-Loans!E64</f>
        <v>0</v>
      </c>
      <c r="E38" s="8">
        <f>Loans!F59-Loans!F64</f>
        <v>29071.80232864822</v>
      </c>
      <c r="F38" s="8">
        <f>Loans!G59-Loans!G64</f>
        <v>27482.476750442369</v>
      </c>
      <c r="G38" s="8">
        <f>Loans!H59-Loans!H64</f>
        <v>25829.578149108285</v>
      </c>
      <c r="H38" s="8">
        <f>Loans!I59-Loans!I64</f>
        <v>24110.563603720839</v>
      </c>
      <c r="I38" s="8">
        <f>Loans!J59-Loans!J64</f>
        <v>22322.788476517893</v>
      </c>
      <c r="J38" s="8">
        <f>Loans!K59-Loans!K64</f>
        <v>20463.502344226828</v>
      </c>
      <c r="K38" s="8">
        <f>Loans!L59-Loans!L64</f>
        <v>18529.844766644121</v>
      </c>
      <c r="L38" s="8">
        <f>Loans!M59-Loans!M64</f>
        <v>16518.840885958107</v>
      </c>
    </row>
    <row r="39" spans="2:12">
      <c r="B39" s="20" t="s">
        <v>78</v>
      </c>
      <c r="C39" s="8">
        <f>Loans!D99-Loans!D104</f>
        <v>0</v>
      </c>
      <c r="D39" s="8">
        <f>Loans!E99-Loans!E104</f>
        <v>0</v>
      </c>
      <c r="E39" s="8">
        <f>Loans!F99-Loans!F104</f>
        <v>0</v>
      </c>
      <c r="F39" s="8">
        <f>Loans!G99-Loans!G104</f>
        <v>0</v>
      </c>
      <c r="G39" s="8">
        <f>Loans!H99-Loans!H104</f>
        <v>0</v>
      </c>
      <c r="H39" s="8">
        <f>Loans!I99-Loans!I104</f>
        <v>0</v>
      </c>
      <c r="I39" s="8">
        <f>Loans!J99-Loans!J104</f>
        <v>0</v>
      </c>
      <c r="J39" s="8">
        <f>Loans!K99-Loans!K104</f>
        <v>52040.940271709776</v>
      </c>
      <c r="K39" s="8">
        <f>Loans!L99-Loans!L104</f>
        <v>50018.211102250127</v>
      </c>
      <c r="L39" s="8">
        <f>Loans!M99-Loans!M104</f>
        <v>47929.743234783033</v>
      </c>
    </row>
    <row r="40" spans="2:12">
      <c r="B40" s="10" t="s">
        <v>2</v>
      </c>
      <c r="C40" s="12">
        <v>0</v>
      </c>
      <c r="D40" s="12">
        <v>0</v>
      </c>
      <c r="E40" s="12">
        <v>0</v>
      </c>
      <c r="F40" s="12">
        <v>0</v>
      </c>
      <c r="G40" s="12">
        <v>0</v>
      </c>
      <c r="H40" s="12">
        <v>0</v>
      </c>
      <c r="I40" s="12">
        <v>0</v>
      </c>
      <c r="J40" s="12">
        <v>0</v>
      </c>
      <c r="K40" s="12">
        <v>0</v>
      </c>
      <c r="L40" s="12">
        <v>0</v>
      </c>
    </row>
    <row r="41" spans="2:12">
      <c r="B41" s="1" t="s">
        <v>19</v>
      </c>
      <c r="C41" s="8">
        <f t="shared" ref="C41:L41" si="11">SUM(C34:C40)</f>
        <v>3908.52253605844</v>
      </c>
      <c r="D41" s="8">
        <f t="shared" si="11"/>
        <v>2652.4856508357129</v>
      </c>
      <c r="E41" s="8">
        <f t="shared" si="11"/>
        <v>30422.024207733037</v>
      </c>
      <c r="F41" s="8">
        <f t="shared" si="11"/>
        <v>27482.476750442369</v>
      </c>
      <c r="G41" s="8">
        <f t="shared" si="11"/>
        <v>53866.805328278395</v>
      </c>
      <c r="H41" s="8">
        <f t="shared" si="11"/>
        <v>46600.099096416416</v>
      </c>
      <c r="I41" s="8">
        <f t="shared" si="11"/>
        <v>38963.163666299355</v>
      </c>
      <c r="J41" s="8">
        <f t="shared" si="11"/>
        <v>82976.613820482773</v>
      </c>
      <c r="K41" s="8">
        <f t="shared" si="11"/>
        <v>72514.312107600344</v>
      </c>
      <c r="L41" s="8">
        <f t="shared" si="11"/>
        <v>64448.584120741143</v>
      </c>
    </row>
    <row r="42" spans="2:12" ht="13.5" thickBot="1">
      <c r="B42" s="18"/>
      <c r="C42" s="19"/>
      <c r="D42" s="19"/>
      <c r="E42" s="19"/>
      <c r="F42" s="19"/>
      <c r="G42" s="19"/>
      <c r="H42" s="19"/>
      <c r="I42" s="19"/>
      <c r="J42" s="19"/>
      <c r="K42" s="19"/>
      <c r="L42" s="19"/>
    </row>
    <row r="43" spans="2:12" ht="13.5" thickTop="1">
      <c r="B43" s="27" t="s">
        <v>21</v>
      </c>
      <c r="C43" s="22">
        <f t="shared" ref="C43:L43" si="12">C31+C41</f>
        <v>5150</v>
      </c>
      <c r="D43" s="22">
        <f t="shared" si="12"/>
        <v>3938.52253605844</v>
      </c>
      <c r="E43" s="22">
        <f t="shared" si="12"/>
        <v>33402.485650835712</v>
      </c>
      <c r="F43" s="22">
        <f t="shared" si="12"/>
        <v>30572.024207733037</v>
      </c>
      <c r="G43" s="22">
        <f t="shared" si="12"/>
        <v>60932.476750442373</v>
      </c>
      <c r="H43" s="22">
        <f t="shared" si="12"/>
        <v>54016.805328278395</v>
      </c>
      <c r="I43" s="22">
        <f t="shared" si="12"/>
        <v>46750.099096416416</v>
      </c>
      <c r="J43" s="22">
        <f t="shared" si="12"/>
        <v>93113.163666299355</v>
      </c>
      <c r="K43" s="22">
        <f t="shared" si="12"/>
        <v>83646.613820482773</v>
      </c>
      <c r="L43" s="22">
        <f t="shared" si="12"/>
        <v>73184.31210760033</v>
      </c>
    </row>
    <row r="44" spans="2:12" ht="13.5" thickBot="1">
      <c r="B44" s="18"/>
      <c r="C44" s="19"/>
      <c r="D44" s="19"/>
      <c r="E44" s="19"/>
      <c r="F44" s="19"/>
      <c r="G44" s="19"/>
      <c r="H44" s="19"/>
      <c r="I44" s="19"/>
      <c r="J44" s="19"/>
      <c r="K44" s="19"/>
      <c r="L44" s="19"/>
    </row>
    <row r="45" spans="2:12" ht="16.5" thickTop="1">
      <c r="B45" s="28" t="s">
        <v>22</v>
      </c>
      <c r="C45" s="29">
        <f t="shared" ref="C45:L45" si="13">C19-C43</f>
        <v>10387.857142857143</v>
      </c>
      <c r="D45" s="29">
        <f t="shared" si="13"/>
        <v>23276.108313794157</v>
      </c>
      <c r="E45" s="29">
        <f t="shared" si="13"/>
        <v>33308.070792540493</v>
      </c>
      <c r="F45" s="29">
        <f t="shared" si="13"/>
        <v>52071.574052980446</v>
      </c>
      <c r="G45" s="29">
        <f t="shared" si="13"/>
        <v>68430.496280700288</v>
      </c>
      <c r="H45" s="29">
        <f t="shared" si="13"/>
        <v>64633.288970353737</v>
      </c>
      <c r="I45" s="29">
        <f t="shared" si="13"/>
        <v>83948.299189690646</v>
      </c>
      <c r="J45" s="29">
        <f t="shared" si="13"/>
        <v>102709.36234965171</v>
      </c>
      <c r="K45" s="29">
        <f t="shared" si="13"/>
        <v>126818.76032260314</v>
      </c>
      <c r="L45" s="29">
        <f t="shared" si="13"/>
        <v>156624.53130060929</v>
      </c>
    </row>
  </sheetData>
  <mergeCells count="2">
    <mergeCell ref="B1:L1"/>
    <mergeCell ref="B2:L2"/>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dimension ref="B1:AF49"/>
  <sheetViews>
    <sheetView zoomScale="70" zoomScaleNormal="70" workbookViewId="0"/>
  </sheetViews>
  <sheetFormatPr defaultRowHeight="12.75"/>
  <cols>
    <col min="1" max="1" width="4.7109375" style="2" customWidth="1"/>
    <col min="2" max="2" width="35.7109375" style="2" customWidth="1"/>
    <col min="3" max="6" width="10.7109375" style="2" customWidth="1"/>
    <col min="7" max="16" width="11.7109375" style="2" customWidth="1"/>
    <col min="17" max="19" width="9.140625" style="2"/>
    <col min="20" max="20" width="1.7109375" style="2" customWidth="1"/>
    <col min="21" max="21" width="20.7109375" style="2" customWidth="1"/>
    <col min="22" max="31" width="12.7109375" style="2" customWidth="1"/>
    <col min="32" max="32" width="1.7109375" style="2" customWidth="1"/>
    <col min="33" max="16384" width="9.140625" style="2"/>
  </cols>
  <sheetData>
    <row r="1" spans="2:32" ht="15.75">
      <c r="B1" s="158" t="s">
        <v>82</v>
      </c>
      <c r="C1" s="158"/>
      <c r="D1" s="158"/>
      <c r="E1" s="158"/>
      <c r="F1" s="158"/>
      <c r="G1" s="158"/>
      <c r="H1" s="158"/>
      <c r="I1" s="158"/>
      <c r="J1" s="158"/>
      <c r="K1" s="158"/>
      <c r="L1" s="158"/>
      <c r="M1" s="158"/>
      <c r="N1" s="158"/>
      <c r="O1" s="158"/>
      <c r="P1" s="158"/>
    </row>
    <row r="2" spans="2:32" ht="15.75" customHeight="1">
      <c r="B2" s="156" t="s">
        <v>151</v>
      </c>
      <c r="C2" s="156"/>
      <c r="D2" s="156"/>
      <c r="E2" s="156"/>
      <c r="F2" s="156"/>
      <c r="G2" s="156"/>
      <c r="H2" s="156"/>
      <c r="I2" s="156"/>
      <c r="J2" s="156"/>
      <c r="K2" s="156"/>
      <c r="L2" s="156"/>
      <c r="M2" s="156"/>
      <c r="N2" s="156"/>
      <c r="O2" s="156"/>
      <c r="P2" s="156"/>
    </row>
    <row r="4" spans="2:32">
      <c r="B4" s="2" t="s">
        <v>33</v>
      </c>
      <c r="C4" s="3" t="s">
        <v>41</v>
      </c>
      <c r="D4" s="4" t="s">
        <v>46</v>
      </c>
      <c r="E4" s="3" t="s">
        <v>35</v>
      </c>
      <c r="F4" s="4" t="s">
        <v>48</v>
      </c>
      <c r="G4" s="157" t="s">
        <v>50</v>
      </c>
      <c r="H4" s="157"/>
      <c r="I4" s="157"/>
      <c r="J4" s="157"/>
      <c r="K4" s="157"/>
      <c r="L4" s="157"/>
      <c r="M4" s="157"/>
      <c r="N4" s="157"/>
      <c r="O4" s="157"/>
      <c r="P4" s="157"/>
    </row>
    <row r="5" spans="2:32" ht="13.5" thickBot="1">
      <c r="B5" s="5"/>
      <c r="C5" s="6" t="s">
        <v>42</v>
      </c>
      <c r="D5" s="7" t="s">
        <v>47</v>
      </c>
      <c r="E5" s="6" t="s">
        <v>36</v>
      </c>
      <c r="F5" s="7" t="s">
        <v>49</v>
      </c>
      <c r="G5" s="7" t="s">
        <v>23</v>
      </c>
      <c r="H5" s="7" t="s">
        <v>24</v>
      </c>
      <c r="I5" s="7" t="s">
        <v>25</v>
      </c>
      <c r="J5" s="7" t="s">
        <v>26</v>
      </c>
      <c r="K5" s="7" t="s">
        <v>27</v>
      </c>
      <c r="L5" s="7" t="s">
        <v>28</v>
      </c>
      <c r="M5" s="7" t="s">
        <v>29</v>
      </c>
      <c r="N5" s="7" t="s">
        <v>30</v>
      </c>
      <c r="O5" s="7" t="s">
        <v>31</v>
      </c>
      <c r="P5" s="7" t="s">
        <v>32</v>
      </c>
    </row>
    <row r="6" spans="2:32">
      <c r="C6" s="3"/>
      <c r="E6" s="3"/>
      <c r="F6" s="3"/>
    </row>
    <row r="7" spans="2:32">
      <c r="B7" s="17" t="s">
        <v>7</v>
      </c>
      <c r="C7" s="3"/>
      <c r="E7" s="3"/>
      <c r="F7" s="3"/>
    </row>
    <row r="8" spans="2:32">
      <c r="B8" s="1" t="s">
        <v>37</v>
      </c>
      <c r="C8" s="3" t="s">
        <v>43</v>
      </c>
      <c r="D8" s="141">
        <v>5000</v>
      </c>
      <c r="E8" s="107">
        <v>7</v>
      </c>
      <c r="F8" s="9">
        <f>D8/E8</f>
        <v>714.28571428571433</v>
      </c>
      <c r="G8" s="8">
        <f>D8-(F8/2)</f>
        <v>4642.8571428571431</v>
      </c>
      <c r="H8" s="8">
        <f>IF((G8-$F8)&gt;0,G8-$F8,0)</f>
        <v>3928.5714285714289</v>
      </c>
      <c r="I8" s="8">
        <f t="shared" ref="I8:P9" si="0">IF((H8-$F8)&gt;0,H8-$F8,0)</f>
        <v>3214.2857142857147</v>
      </c>
      <c r="J8" s="8">
        <f t="shared" si="0"/>
        <v>2500.0000000000005</v>
      </c>
      <c r="K8" s="8">
        <f t="shared" si="0"/>
        <v>1785.7142857142862</v>
      </c>
      <c r="L8" s="8">
        <f t="shared" si="0"/>
        <v>1071.428571428572</v>
      </c>
      <c r="M8" s="8">
        <f t="shared" si="0"/>
        <v>357.14285714285768</v>
      </c>
      <c r="N8" s="8">
        <f t="shared" si="0"/>
        <v>0</v>
      </c>
      <c r="O8" s="8">
        <f t="shared" si="0"/>
        <v>0</v>
      </c>
      <c r="P8" s="8">
        <f t="shared" si="0"/>
        <v>0</v>
      </c>
    </row>
    <row r="9" spans="2:32" ht="13.5" thickBot="1">
      <c r="B9" s="1" t="s">
        <v>54</v>
      </c>
      <c r="C9" s="3" t="s">
        <v>55</v>
      </c>
      <c r="D9" s="141">
        <v>25000</v>
      </c>
      <c r="E9" s="107">
        <v>10</v>
      </c>
      <c r="F9" s="9">
        <f>D9/E9</f>
        <v>2500</v>
      </c>
      <c r="G9" s="8"/>
      <c r="H9" s="8"/>
      <c r="I9" s="8"/>
      <c r="J9" s="8"/>
      <c r="K9" s="8">
        <f>D9-(F9/2)</f>
        <v>23750</v>
      </c>
      <c r="L9" s="8">
        <f t="shared" si="0"/>
        <v>21250</v>
      </c>
      <c r="M9" s="8">
        <f t="shared" si="0"/>
        <v>18750</v>
      </c>
      <c r="N9" s="8">
        <f t="shared" si="0"/>
        <v>16250</v>
      </c>
      <c r="O9" s="8">
        <f t="shared" si="0"/>
        <v>13750</v>
      </c>
      <c r="P9" s="8">
        <f t="shared" si="0"/>
        <v>11250</v>
      </c>
    </row>
    <row r="10" spans="2:32">
      <c r="B10" s="10" t="s">
        <v>2</v>
      </c>
      <c r="C10" s="11"/>
      <c r="D10" s="12"/>
      <c r="E10" s="11"/>
      <c r="F10" s="13"/>
      <c r="G10" s="12"/>
      <c r="H10" s="12"/>
      <c r="I10" s="12"/>
      <c r="J10" s="12"/>
      <c r="K10" s="12"/>
      <c r="L10" s="12"/>
      <c r="M10" s="12"/>
      <c r="N10" s="12"/>
      <c r="O10" s="12"/>
      <c r="P10" s="12"/>
      <c r="T10" s="65"/>
      <c r="U10" s="58"/>
      <c r="V10" s="58"/>
      <c r="W10" s="58"/>
      <c r="X10" s="58"/>
      <c r="Y10" s="58"/>
      <c r="Z10" s="58"/>
      <c r="AA10" s="58"/>
      <c r="AB10" s="58"/>
      <c r="AC10" s="58"/>
      <c r="AD10" s="58"/>
      <c r="AE10" s="58"/>
      <c r="AF10" s="59"/>
    </row>
    <row r="11" spans="2:32">
      <c r="B11" s="24" t="s">
        <v>122</v>
      </c>
      <c r="C11" s="25"/>
      <c r="D11" s="22"/>
      <c r="E11" s="25"/>
      <c r="F11" s="26"/>
      <c r="G11" s="26">
        <f t="shared" ref="G11:P11" si="1">SUM(G8:G10)</f>
        <v>4642.8571428571431</v>
      </c>
      <c r="H11" s="26">
        <f t="shared" si="1"/>
        <v>3928.5714285714289</v>
      </c>
      <c r="I11" s="26">
        <f t="shared" si="1"/>
        <v>3214.2857142857147</v>
      </c>
      <c r="J11" s="26">
        <f t="shared" si="1"/>
        <v>2500.0000000000005</v>
      </c>
      <c r="K11" s="26">
        <f t="shared" si="1"/>
        <v>25535.714285714286</v>
      </c>
      <c r="L11" s="26">
        <f t="shared" si="1"/>
        <v>22321.428571428572</v>
      </c>
      <c r="M11" s="26">
        <f t="shared" si="1"/>
        <v>19107.142857142859</v>
      </c>
      <c r="N11" s="26">
        <f t="shared" si="1"/>
        <v>16250</v>
      </c>
      <c r="O11" s="26">
        <f t="shared" si="1"/>
        <v>13750</v>
      </c>
      <c r="P11" s="26">
        <f t="shared" si="1"/>
        <v>11250</v>
      </c>
      <c r="T11" s="60"/>
      <c r="U11" s="159" t="s">
        <v>129</v>
      </c>
      <c r="V11" s="159"/>
      <c r="W11" s="159"/>
      <c r="X11" s="159"/>
      <c r="Y11" s="159"/>
      <c r="Z11" s="159"/>
      <c r="AA11" s="159"/>
      <c r="AB11" s="159"/>
      <c r="AC11" s="159"/>
      <c r="AD11" s="159"/>
      <c r="AE11" s="159"/>
      <c r="AF11" s="66"/>
    </row>
    <row r="12" spans="2:32" ht="13.5" thickBot="1">
      <c r="B12" s="17" t="s">
        <v>38</v>
      </c>
      <c r="C12" s="3"/>
      <c r="D12" s="8"/>
      <c r="E12" s="3"/>
      <c r="F12" s="9"/>
      <c r="G12" s="8"/>
      <c r="H12" s="8"/>
      <c r="I12" s="8"/>
      <c r="J12" s="8"/>
      <c r="K12" s="8"/>
      <c r="L12" s="8"/>
      <c r="M12" s="8"/>
      <c r="N12" s="8"/>
      <c r="O12" s="8"/>
      <c r="P12" s="8"/>
      <c r="T12" s="60"/>
      <c r="U12" s="63"/>
      <c r="V12" s="64" t="s">
        <v>23</v>
      </c>
      <c r="W12" s="64" t="s">
        <v>24</v>
      </c>
      <c r="X12" s="64" t="s">
        <v>25</v>
      </c>
      <c r="Y12" s="64" t="s">
        <v>26</v>
      </c>
      <c r="Z12" s="64" t="s">
        <v>27</v>
      </c>
      <c r="AA12" s="64" t="s">
        <v>28</v>
      </c>
      <c r="AB12" s="64" t="s">
        <v>29</v>
      </c>
      <c r="AC12" s="64" t="s">
        <v>30</v>
      </c>
      <c r="AD12" s="64" t="s">
        <v>31</v>
      </c>
      <c r="AE12" s="64" t="s">
        <v>32</v>
      </c>
      <c r="AF12" s="66"/>
    </row>
    <row r="13" spans="2:32">
      <c r="B13" s="1" t="s">
        <v>80</v>
      </c>
      <c r="C13" s="3" t="s">
        <v>43</v>
      </c>
      <c r="D13" s="74">
        <v>0</v>
      </c>
      <c r="E13" s="107">
        <v>5</v>
      </c>
      <c r="F13" s="9">
        <f>D13/E13</f>
        <v>0</v>
      </c>
      <c r="G13" s="8">
        <f>D13-F13</f>
        <v>0</v>
      </c>
      <c r="H13" s="8">
        <f>IF((G13-$F13)&gt;0,G13-$F13,0)</f>
        <v>0</v>
      </c>
      <c r="I13" s="8">
        <f t="shared" ref="I13:P14" si="2">IF((H13-$F13)&gt;0,H13-$F13,0)</f>
        <v>0</v>
      </c>
      <c r="J13" s="8">
        <f t="shared" si="2"/>
        <v>0</v>
      </c>
      <c r="K13" s="8">
        <f t="shared" si="2"/>
        <v>0</v>
      </c>
      <c r="L13" s="8">
        <f t="shared" si="2"/>
        <v>0</v>
      </c>
      <c r="M13" s="8">
        <f t="shared" si="2"/>
        <v>0</v>
      </c>
      <c r="N13" s="8">
        <f t="shared" si="2"/>
        <v>0</v>
      </c>
      <c r="O13" s="8">
        <f t="shared" si="2"/>
        <v>0</v>
      </c>
      <c r="P13" s="8">
        <f t="shared" si="2"/>
        <v>0</v>
      </c>
      <c r="T13" s="60"/>
      <c r="U13" s="67" t="s">
        <v>125</v>
      </c>
      <c r="V13" s="61"/>
      <c r="W13" s="61"/>
      <c r="X13" s="61"/>
      <c r="Y13" s="61"/>
      <c r="Z13" s="61"/>
      <c r="AA13" s="61"/>
      <c r="AB13" s="61"/>
      <c r="AC13" s="61"/>
      <c r="AD13" s="61"/>
      <c r="AE13" s="61"/>
      <c r="AF13" s="66"/>
    </row>
    <row r="14" spans="2:32">
      <c r="B14" s="1" t="s">
        <v>53</v>
      </c>
      <c r="C14" s="3" t="s">
        <v>52</v>
      </c>
      <c r="D14" s="74">
        <v>2000</v>
      </c>
      <c r="E14" s="107">
        <v>5</v>
      </c>
      <c r="F14" s="9">
        <f>D14/E14</f>
        <v>400</v>
      </c>
      <c r="G14" s="8"/>
      <c r="H14" s="8"/>
      <c r="I14" s="8">
        <f>D14-(F14/2)</f>
        <v>1800</v>
      </c>
      <c r="J14" s="8">
        <f t="shared" si="2"/>
        <v>1400</v>
      </c>
      <c r="K14" s="8">
        <f t="shared" si="2"/>
        <v>1000</v>
      </c>
      <c r="L14" s="8">
        <f t="shared" si="2"/>
        <v>600</v>
      </c>
      <c r="M14" s="8">
        <f t="shared" si="2"/>
        <v>200</v>
      </c>
      <c r="N14" s="8">
        <f t="shared" si="2"/>
        <v>0</v>
      </c>
      <c r="O14" s="8">
        <f t="shared" si="2"/>
        <v>0</v>
      </c>
      <c r="P14" s="8">
        <f t="shared" si="2"/>
        <v>0</v>
      </c>
      <c r="T14" s="60"/>
      <c r="U14" s="68" t="s">
        <v>130</v>
      </c>
      <c r="V14" s="62">
        <v>3</v>
      </c>
      <c r="W14" s="62">
        <f t="shared" ref="W14:AE14" si="3">V18</f>
        <v>3</v>
      </c>
      <c r="X14" s="62">
        <f t="shared" si="3"/>
        <v>2</v>
      </c>
      <c r="Y14" s="62">
        <f t="shared" si="3"/>
        <v>12</v>
      </c>
      <c r="Z14" s="62">
        <f t="shared" si="3"/>
        <v>10</v>
      </c>
      <c r="AA14" s="62">
        <f t="shared" si="3"/>
        <v>10</v>
      </c>
      <c r="AB14" s="62">
        <f t="shared" si="3"/>
        <v>10</v>
      </c>
      <c r="AC14" s="62">
        <f t="shared" si="3"/>
        <v>9</v>
      </c>
      <c r="AD14" s="62">
        <f t="shared" si="3"/>
        <v>5</v>
      </c>
      <c r="AE14" s="62">
        <f t="shared" si="3"/>
        <v>55</v>
      </c>
      <c r="AF14" s="66"/>
    </row>
    <row r="15" spans="2:32">
      <c r="B15" s="1" t="s">
        <v>133</v>
      </c>
      <c r="C15" s="3" t="s">
        <v>57</v>
      </c>
      <c r="D15" s="74">
        <v>8750</v>
      </c>
      <c r="E15" s="107">
        <v>4</v>
      </c>
      <c r="F15" s="9">
        <f t="shared" ref="F15" si="4">D15/E15</f>
        <v>2187.5</v>
      </c>
      <c r="H15" s="8"/>
      <c r="I15" s="8"/>
      <c r="J15" s="8"/>
      <c r="K15" s="8"/>
      <c r="L15" s="8"/>
      <c r="M15" s="8"/>
      <c r="N15" s="8"/>
      <c r="O15" s="8">
        <f>D15-(F15/2)</f>
        <v>7656.25</v>
      </c>
      <c r="P15" s="8">
        <f t="shared" ref="J15:P19" si="5">IF((O15-$F15)&gt;0,O15-$F15,0)</f>
        <v>5468.75</v>
      </c>
      <c r="T15" s="60"/>
      <c r="U15" s="68" t="s">
        <v>127</v>
      </c>
      <c r="V15" s="62">
        <v>0</v>
      </c>
      <c r="W15" s="62">
        <v>0</v>
      </c>
      <c r="X15" s="62">
        <v>10</v>
      </c>
      <c r="Y15" s="62">
        <v>0</v>
      </c>
      <c r="Z15" s="62">
        <v>0</v>
      </c>
      <c r="AA15" s="62">
        <v>0</v>
      </c>
      <c r="AB15" s="62">
        <v>0</v>
      </c>
      <c r="AC15" s="62">
        <v>0</v>
      </c>
      <c r="AD15" s="62">
        <v>50</v>
      </c>
      <c r="AE15" s="62">
        <v>0</v>
      </c>
      <c r="AF15" s="66"/>
    </row>
    <row r="16" spans="2:32">
      <c r="B16" s="1" t="s">
        <v>51</v>
      </c>
      <c r="C16" s="3" t="s">
        <v>52</v>
      </c>
      <c r="D16" s="74">
        <v>500</v>
      </c>
      <c r="E16" s="107">
        <v>3</v>
      </c>
      <c r="F16" s="9">
        <f t="shared" ref="F16:F17" si="6">D16/E16</f>
        <v>166.66666666666666</v>
      </c>
      <c r="G16" s="8"/>
      <c r="H16" s="8"/>
      <c r="I16" s="8">
        <f>D16-(F16/2)</f>
        <v>416.66666666666669</v>
      </c>
      <c r="J16" s="8">
        <f t="shared" si="5"/>
        <v>250.00000000000003</v>
      </c>
      <c r="K16" s="8">
        <f t="shared" si="5"/>
        <v>83.333333333333371</v>
      </c>
      <c r="L16" s="8">
        <f t="shared" si="5"/>
        <v>0</v>
      </c>
      <c r="M16" s="8">
        <f t="shared" si="5"/>
        <v>0</v>
      </c>
      <c r="N16" s="8">
        <f t="shared" si="5"/>
        <v>0</v>
      </c>
      <c r="O16" s="8">
        <f t="shared" si="5"/>
        <v>0</v>
      </c>
      <c r="P16" s="8">
        <f t="shared" si="5"/>
        <v>0</v>
      </c>
      <c r="T16" s="60"/>
      <c r="U16" s="68" t="s">
        <v>128</v>
      </c>
      <c r="V16" s="62">
        <v>0</v>
      </c>
      <c r="W16" s="62">
        <v>0</v>
      </c>
      <c r="X16" s="62">
        <v>0</v>
      </c>
      <c r="Y16" s="62">
        <v>1</v>
      </c>
      <c r="Z16" s="62">
        <v>0</v>
      </c>
      <c r="AA16" s="62">
        <v>0</v>
      </c>
      <c r="AB16" s="62">
        <v>0</v>
      </c>
      <c r="AC16" s="62">
        <v>4</v>
      </c>
      <c r="AD16" s="62">
        <v>0</v>
      </c>
      <c r="AE16" s="62">
        <v>0</v>
      </c>
      <c r="AF16" s="66"/>
    </row>
    <row r="17" spans="2:32">
      <c r="B17" s="1" t="s">
        <v>51</v>
      </c>
      <c r="C17" s="3" t="s">
        <v>56</v>
      </c>
      <c r="D17" s="74">
        <v>750</v>
      </c>
      <c r="E17" s="107">
        <v>3</v>
      </c>
      <c r="F17" s="9">
        <f t="shared" si="6"/>
        <v>250</v>
      </c>
      <c r="H17" s="8"/>
      <c r="I17" s="8"/>
      <c r="K17" s="8"/>
      <c r="L17" s="8">
        <f>D17-(F17/2)</f>
        <v>625</v>
      </c>
      <c r="M17" s="8">
        <f t="shared" si="5"/>
        <v>375</v>
      </c>
      <c r="N17" s="8">
        <f t="shared" si="5"/>
        <v>125</v>
      </c>
      <c r="O17" s="8">
        <f t="shared" si="5"/>
        <v>0</v>
      </c>
      <c r="P17" s="8">
        <f t="shared" si="5"/>
        <v>0</v>
      </c>
      <c r="T17" s="60"/>
      <c r="U17" s="68" t="s">
        <v>131</v>
      </c>
      <c r="V17" s="62">
        <v>0</v>
      </c>
      <c r="W17" s="62">
        <v>1</v>
      </c>
      <c r="X17" s="62">
        <v>0</v>
      </c>
      <c r="Y17" s="62">
        <v>1</v>
      </c>
      <c r="Z17" s="62">
        <v>0</v>
      </c>
      <c r="AA17" s="62">
        <v>0</v>
      </c>
      <c r="AB17" s="62">
        <v>1</v>
      </c>
      <c r="AC17" s="62">
        <v>0</v>
      </c>
      <c r="AD17" s="62">
        <v>0</v>
      </c>
      <c r="AE17" s="62">
        <v>0</v>
      </c>
      <c r="AF17" s="66"/>
    </row>
    <row r="18" spans="2:32">
      <c r="B18" s="1" t="s">
        <v>51</v>
      </c>
      <c r="C18" s="3" t="s">
        <v>57</v>
      </c>
      <c r="D18" s="74">
        <v>575</v>
      </c>
      <c r="E18" s="107">
        <v>3</v>
      </c>
      <c r="F18" s="9">
        <f t="shared" ref="F18" si="7">D18/E18</f>
        <v>191.66666666666666</v>
      </c>
      <c r="H18" s="8"/>
      <c r="I18" s="8"/>
      <c r="J18" s="8"/>
      <c r="K18" s="8"/>
      <c r="L18" s="8"/>
      <c r="M18" s="8"/>
      <c r="N18" s="8"/>
      <c r="O18" s="8">
        <f>D18-(F18/2)</f>
        <v>479.16666666666669</v>
      </c>
      <c r="P18" s="8">
        <f t="shared" si="5"/>
        <v>287.5</v>
      </c>
      <c r="T18" s="60"/>
      <c r="U18" s="68" t="s">
        <v>132</v>
      </c>
      <c r="V18" s="62">
        <f t="shared" ref="V18:AE18" si="8">V14+V15-V16-V17</f>
        <v>3</v>
      </c>
      <c r="W18" s="62">
        <f t="shared" si="8"/>
        <v>2</v>
      </c>
      <c r="X18" s="62">
        <f t="shared" si="8"/>
        <v>12</v>
      </c>
      <c r="Y18" s="62">
        <f t="shared" si="8"/>
        <v>10</v>
      </c>
      <c r="Z18" s="62">
        <f t="shared" si="8"/>
        <v>10</v>
      </c>
      <c r="AA18" s="62">
        <f t="shared" si="8"/>
        <v>10</v>
      </c>
      <c r="AB18" s="62">
        <f t="shared" si="8"/>
        <v>9</v>
      </c>
      <c r="AC18" s="62">
        <f t="shared" si="8"/>
        <v>5</v>
      </c>
      <c r="AD18" s="62">
        <f t="shared" si="8"/>
        <v>55</v>
      </c>
      <c r="AE18" s="62">
        <f t="shared" si="8"/>
        <v>55</v>
      </c>
      <c r="AF18" s="66"/>
    </row>
    <row r="19" spans="2:32">
      <c r="B19" s="1" t="s">
        <v>60</v>
      </c>
      <c r="C19" s="3" t="s">
        <v>57</v>
      </c>
      <c r="D19" s="74">
        <v>1200</v>
      </c>
      <c r="E19" s="107">
        <v>3</v>
      </c>
      <c r="F19" s="9">
        <f t="shared" ref="F19" si="9">D19/E19</f>
        <v>400</v>
      </c>
      <c r="H19" s="8"/>
      <c r="I19" s="8"/>
      <c r="J19" s="8"/>
      <c r="K19" s="8"/>
      <c r="L19" s="8"/>
      <c r="M19" s="8"/>
      <c r="N19" s="8"/>
      <c r="O19" s="8">
        <f>D19-(F19/2)</f>
        <v>1000</v>
      </c>
      <c r="P19" s="8">
        <f t="shared" si="5"/>
        <v>600</v>
      </c>
      <c r="T19" s="60"/>
      <c r="U19" s="67" t="s">
        <v>126</v>
      </c>
      <c r="V19" s="61"/>
      <c r="W19" s="61"/>
      <c r="X19" s="61"/>
      <c r="Y19" s="61"/>
      <c r="Z19" s="61"/>
      <c r="AA19" s="61"/>
      <c r="AB19" s="61"/>
      <c r="AC19" s="61"/>
      <c r="AD19" s="61"/>
      <c r="AE19" s="61"/>
      <c r="AF19" s="66"/>
    </row>
    <row r="20" spans="2:32">
      <c r="B20" s="10" t="s">
        <v>2</v>
      </c>
      <c r="C20" s="11"/>
      <c r="D20" s="12"/>
      <c r="E20" s="11"/>
      <c r="F20" s="13"/>
      <c r="G20" s="12"/>
      <c r="H20" s="12"/>
      <c r="I20" s="12"/>
      <c r="J20" s="12"/>
      <c r="K20" s="12"/>
      <c r="L20" s="12"/>
      <c r="M20" s="12"/>
      <c r="N20" s="12"/>
      <c r="O20" s="12"/>
      <c r="P20" s="12"/>
      <c r="T20" s="60"/>
      <c r="U20" s="68" t="s">
        <v>130</v>
      </c>
      <c r="V20" s="62">
        <v>0</v>
      </c>
      <c r="W20" s="62">
        <f t="shared" ref="W20:AE20" si="10">V24</f>
        <v>0</v>
      </c>
      <c r="X20" s="62">
        <f t="shared" si="10"/>
        <v>0</v>
      </c>
      <c r="Y20" s="62">
        <f t="shared" si="10"/>
        <v>1</v>
      </c>
      <c r="Z20" s="62">
        <f t="shared" si="10"/>
        <v>1</v>
      </c>
      <c r="AA20" s="62">
        <f t="shared" si="10"/>
        <v>1</v>
      </c>
      <c r="AB20" s="62">
        <f t="shared" si="10"/>
        <v>1</v>
      </c>
      <c r="AC20" s="62">
        <f t="shared" si="10"/>
        <v>1</v>
      </c>
      <c r="AD20" s="62">
        <f t="shared" si="10"/>
        <v>1</v>
      </c>
      <c r="AE20" s="62">
        <f t="shared" si="10"/>
        <v>2</v>
      </c>
      <c r="AF20" s="66"/>
    </row>
    <row r="21" spans="2:32">
      <c r="B21" s="24" t="s">
        <v>122</v>
      </c>
      <c r="C21" s="25"/>
      <c r="D21" s="22"/>
      <c r="E21" s="25"/>
      <c r="F21" s="26"/>
      <c r="G21" s="26">
        <f t="shared" ref="G21:P21" si="11">SUM(G13:G20)</f>
        <v>0</v>
      </c>
      <c r="H21" s="26">
        <f t="shared" si="11"/>
        <v>0</v>
      </c>
      <c r="I21" s="26">
        <f t="shared" si="11"/>
        <v>2216.6666666666665</v>
      </c>
      <c r="J21" s="26">
        <f t="shared" si="11"/>
        <v>1650</v>
      </c>
      <c r="K21" s="26">
        <f t="shared" si="11"/>
        <v>1083.3333333333335</v>
      </c>
      <c r="L21" s="26">
        <f t="shared" si="11"/>
        <v>1225</v>
      </c>
      <c r="M21" s="26">
        <f t="shared" si="11"/>
        <v>575</v>
      </c>
      <c r="N21" s="26">
        <f t="shared" si="11"/>
        <v>125</v>
      </c>
      <c r="O21" s="26">
        <f t="shared" si="11"/>
        <v>9135.4166666666679</v>
      </c>
      <c r="P21" s="26">
        <f t="shared" si="11"/>
        <v>6356.25</v>
      </c>
      <c r="T21" s="60"/>
      <c r="U21" s="68" t="s">
        <v>127</v>
      </c>
      <c r="V21" s="62">
        <v>0</v>
      </c>
      <c r="W21" s="62">
        <v>0</v>
      </c>
      <c r="X21" s="62">
        <v>1</v>
      </c>
      <c r="Y21" s="62">
        <v>0</v>
      </c>
      <c r="Z21" s="62">
        <v>0</v>
      </c>
      <c r="AA21" s="62">
        <v>1</v>
      </c>
      <c r="AB21" s="62">
        <v>0</v>
      </c>
      <c r="AC21" s="62">
        <v>0</v>
      </c>
      <c r="AD21" s="62">
        <v>2</v>
      </c>
      <c r="AE21" s="62">
        <v>0</v>
      </c>
      <c r="AF21" s="66"/>
    </row>
    <row r="22" spans="2:32">
      <c r="B22" s="17" t="s">
        <v>40</v>
      </c>
      <c r="C22" s="3"/>
      <c r="D22" s="8"/>
      <c r="E22" s="3"/>
      <c r="F22" s="9"/>
      <c r="G22" s="8"/>
      <c r="H22" s="8"/>
      <c r="I22" s="8"/>
      <c r="J22" s="8"/>
      <c r="K22" s="8"/>
      <c r="L22" s="8"/>
      <c r="M22" s="8"/>
      <c r="N22" s="8"/>
      <c r="O22" s="8"/>
      <c r="P22" s="8"/>
      <c r="T22" s="60"/>
      <c r="U22" s="68" t="s">
        <v>128</v>
      </c>
      <c r="V22" s="62">
        <v>0</v>
      </c>
      <c r="W22" s="62">
        <v>0</v>
      </c>
      <c r="X22" s="62">
        <v>0</v>
      </c>
      <c r="Y22" s="62">
        <v>0</v>
      </c>
      <c r="Z22" s="62">
        <v>0</v>
      </c>
      <c r="AA22" s="62">
        <v>1</v>
      </c>
      <c r="AB22" s="62">
        <v>0</v>
      </c>
      <c r="AC22" s="62">
        <v>0</v>
      </c>
      <c r="AD22" s="62">
        <v>0</v>
      </c>
      <c r="AE22" s="62">
        <v>0</v>
      </c>
      <c r="AF22" s="66"/>
    </row>
    <row r="23" spans="2:32">
      <c r="B23" s="1" t="s">
        <v>58</v>
      </c>
      <c r="C23" s="3" t="s">
        <v>55</v>
      </c>
      <c r="D23" s="74">
        <v>12500</v>
      </c>
      <c r="E23" s="107">
        <v>15</v>
      </c>
      <c r="F23" s="9">
        <f t="shared" ref="F23" si="12">D23/E23</f>
        <v>833.33333333333337</v>
      </c>
      <c r="G23" s="8"/>
      <c r="H23" s="8"/>
      <c r="I23" s="8"/>
      <c r="J23" s="8"/>
      <c r="K23" s="8">
        <f>D23-(F23/2)</f>
        <v>12083.333333333334</v>
      </c>
      <c r="L23" s="8">
        <f t="shared" ref="L23:P25" si="13">IF((K23-$F23)&gt;0,K23-$F23,0)</f>
        <v>11250</v>
      </c>
      <c r="M23" s="8">
        <f t="shared" si="13"/>
        <v>10416.666666666666</v>
      </c>
      <c r="N23" s="8">
        <f t="shared" si="13"/>
        <v>9583.3333333333321</v>
      </c>
      <c r="O23" s="8">
        <f t="shared" si="13"/>
        <v>8749.9999999999982</v>
      </c>
      <c r="P23" s="8">
        <f t="shared" si="13"/>
        <v>7916.6666666666652</v>
      </c>
      <c r="T23" s="60"/>
      <c r="U23" s="68" t="s">
        <v>131</v>
      </c>
      <c r="V23" s="62">
        <v>0</v>
      </c>
      <c r="W23" s="62">
        <v>0</v>
      </c>
      <c r="X23" s="62">
        <v>0</v>
      </c>
      <c r="Y23" s="62">
        <v>0</v>
      </c>
      <c r="Z23" s="62">
        <v>0</v>
      </c>
      <c r="AA23" s="62">
        <v>0</v>
      </c>
      <c r="AB23" s="62">
        <v>0</v>
      </c>
      <c r="AC23" s="62">
        <v>0</v>
      </c>
      <c r="AD23" s="62">
        <v>1</v>
      </c>
      <c r="AE23" s="62">
        <v>0</v>
      </c>
      <c r="AF23" s="66"/>
    </row>
    <row r="24" spans="2:32">
      <c r="B24" s="1" t="s">
        <v>59</v>
      </c>
      <c r="C24" s="3" t="s">
        <v>55</v>
      </c>
      <c r="D24" s="74">
        <v>800</v>
      </c>
      <c r="E24" s="107">
        <v>15</v>
      </c>
      <c r="F24" s="9">
        <f t="shared" ref="F24:F25" si="14">D24/E24</f>
        <v>53.333333333333336</v>
      </c>
      <c r="G24" s="8"/>
      <c r="H24" s="8"/>
      <c r="I24" s="8"/>
      <c r="J24" s="8"/>
      <c r="K24" s="8">
        <f>D24-(F24/2)</f>
        <v>773.33333333333337</v>
      </c>
      <c r="L24" s="8">
        <f t="shared" si="13"/>
        <v>720</v>
      </c>
      <c r="M24" s="8">
        <f t="shared" si="13"/>
        <v>666.66666666666663</v>
      </c>
      <c r="N24" s="8">
        <f t="shared" si="13"/>
        <v>613.33333333333326</v>
      </c>
      <c r="O24" s="8">
        <f t="shared" si="13"/>
        <v>559.99999999999989</v>
      </c>
      <c r="P24" s="8">
        <f t="shared" si="13"/>
        <v>506.66666666666657</v>
      </c>
      <c r="T24" s="60"/>
      <c r="U24" s="68" t="s">
        <v>132</v>
      </c>
      <c r="V24" s="62">
        <f t="shared" ref="V24:AE24" si="15">V20+V21-V22-V23</f>
        <v>0</v>
      </c>
      <c r="W24" s="62">
        <f t="shared" si="15"/>
        <v>0</v>
      </c>
      <c r="X24" s="62">
        <f t="shared" si="15"/>
        <v>1</v>
      </c>
      <c r="Y24" s="62">
        <f t="shared" si="15"/>
        <v>1</v>
      </c>
      <c r="Z24" s="62">
        <f t="shared" si="15"/>
        <v>1</v>
      </c>
      <c r="AA24" s="62">
        <f t="shared" si="15"/>
        <v>1</v>
      </c>
      <c r="AB24" s="62">
        <f t="shared" si="15"/>
        <v>1</v>
      </c>
      <c r="AC24" s="62">
        <f t="shared" si="15"/>
        <v>1</v>
      </c>
      <c r="AD24" s="62">
        <f t="shared" si="15"/>
        <v>2</v>
      </c>
      <c r="AE24" s="62">
        <f t="shared" si="15"/>
        <v>2</v>
      </c>
      <c r="AF24" s="66"/>
    </row>
    <row r="25" spans="2:32" ht="13.5" thickBot="1">
      <c r="B25" s="1" t="s">
        <v>64</v>
      </c>
      <c r="C25" s="3" t="s">
        <v>57</v>
      </c>
      <c r="D25" s="74">
        <v>1200</v>
      </c>
      <c r="E25" s="107">
        <v>20</v>
      </c>
      <c r="F25" s="9">
        <f t="shared" si="14"/>
        <v>60</v>
      </c>
      <c r="H25" s="8"/>
      <c r="I25" s="8"/>
      <c r="J25" s="8"/>
      <c r="K25" s="8"/>
      <c r="L25" s="8"/>
      <c r="M25" s="8"/>
      <c r="N25" s="8"/>
      <c r="O25" s="8">
        <f>D25-(F25/2)</f>
        <v>1170</v>
      </c>
      <c r="P25" s="8">
        <f t="shared" si="13"/>
        <v>1110</v>
      </c>
      <c r="T25" s="69"/>
      <c r="U25" s="63"/>
      <c r="V25" s="63"/>
      <c r="W25" s="63"/>
      <c r="X25" s="63"/>
      <c r="Y25" s="63"/>
      <c r="Z25" s="63"/>
      <c r="AA25" s="63"/>
      <c r="AB25" s="63"/>
      <c r="AC25" s="63"/>
      <c r="AD25" s="63"/>
      <c r="AE25" s="63"/>
      <c r="AF25" s="70"/>
    </row>
    <row r="26" spans="2:32">
      <c r="B26" s="10" t="s">
        <v>2</v>
      </c>
      <c r="C26" s="11"/>
      <c r="D26" s="12"/>
      <c r="E26" s="11"/>
      <c r="F26" s="13"/>
      <c r="G26" s="12"/>
      <c r="H26" s="12"/>
      <c r="I26" s="12"/>
      <c r="J26" s="12"/>
      <c r="K26" s="12"/>
      <c r="L26" s="12"/>
      <c r="M26" s="12"/>
      <c r="N26" s="12"/>
      <c r="O26" s="12"/>
      <c r="P26" s="12"/>
      <c r="U26" s="20"/>
    </row>
    <row r="27" spans="2:32">
      <c r="B27" s="24" t="s">
        <v>122</v>
      </c>
      <c r="C27" s="25"/>
      <c r="D27" s="22"/>
      <c r="E27" s="25"/>
      <c r="F27" s="26"/>
      <c r="G27" s="22">
        <f>SUM(G23:G26)</f>
        <v>0</v>
      </c>
      <c r="H27" s="22">
        <f t="shared" ref="H27:P27" si="16">SUM(H23:H26)</f>
        <v>0</v>
      </c>
      <c r="I27" s="22">
        <f t="shared" si="16"/>
        <v>0</v>
      </c>
      <c r="J27" s="22">
        <f t="shared" si="16"/>
        <v>0</v>
      </c>
      <c r="K27" s="22">
        <f t="shared" si="16"/>
        <v>12856.666666666668</v>
      </c>
      <c r="L27" s="22">
        <f t="shared" si="16"/>
        <v>11970</v>
      </c>
      <c r="M27" s="22">
        <f t="shared" si="16"/>
        <v>11083.333333333332</v>
      </c>
      <c r="N27" s="22">
        <f t="shared" si="16"/>
        <v>10196.666666666666</v>
      </c>
      <c r="O27" s="22">
        <f t="shared" si="16"/>
        <v>10479.999999999998</v>
      </c>
      <c r="P27" s="22">
        <f t="shared" si="16"/>
        <v>9533.3333333333321</v>
      </c>
      <c r="U27" s="20"/>
      <c r="V27" s="16"/>
      <c r="W27" s="16"/>
      <c r="X27" s="16"/>
      <c r="Y27" s="16"/>
      <c r="Z27" s="16"/>
      <c r="AA27" s="16"/>
      <c r="AB27" s="16"/>
      <c r="AC27" s="16"/>
      <c r="AD27" s="16"/>
      <c r="AE27" s="16"/>
    </row>
    <row r="28" spans="2:32">
      <c r="B28" s="17" t="s">
        <v>9</v>
      </c>
      <c r="C28" s="3"/>
      <c r="D28" s="8"/>
      <c r="E28" s="3"/>
      <c r="F28" s="9"/>
      <c r="G28" s="8"/>
      <c r="H28" s="8"/>
      <c r="I28" s="8"/>
      <c r="J28" s="8"/>
      <c r="K28" s="8"/>
      <c r="L28" s="8"/>
      <c r="M28" s="8"/>
      <c r="N28" s="8"/>
      <c r="O28" s="8"/>
      <c r="P28" s="8"/>
    </row>
    <row r="29" spans="2:32">
      <c r="B29" s="1" t="s">
        <v>6</v>
      </c>
      <c r="C29" s="3" t="s">
        <v>43</v>
      </c>
      <c r="D29" s="74">
        <v>720</v>
      </c>
      <c r="E29" s="107">
        <v>10</v>
      </c>
      <c r="F29" s="9">
        <f>D29/E29</f>
        <v>72</v>
      </c>
      <c r="G29" s="8">
        <f>D29-(F29/2)</f>
        <v>684</v>
      </c>
      <c r="H29" s="8">
        <f t="shared" ref="H29:P29" si="17">IF((G29-$F29)&gt;0,G29-$F29,0)</f>
        <v>612</v>
      </c>
      <c r="I29" s="8">
        <f t="shared" si="17"/>
        <v>540</v>
      </c>
      <c r="J29" s="8">
        <f t="shared" si="17"/>
        <v>468</v>
      </c>
      <c r="K29" s="8">
        <f t="shared" si="17"/>
        <v>396</v>
      </c>
      <c r="L29" s="8">
        <f t="shared" si="17"/>
        <v>324</v>
      </c>
      <c r="M29" s="8">
        <f t="shared" si="17"/>
        <v>252</v>
      </c>
      <c r="N29" s="8">
        <f t="shared" si="17"/>
        <v>180</v>
      </c>
      <c r="O29" s="8">
        <f t="shared" si="17"/>
        <v>108</v>
      </c>
      <c r="P29" s="8">
        <f t="shared" si="17"/>
        <v>36</v>
      </c>
      <c r="U29" s="20"/>
    </row>
    <row r="30" spans="2:32">
      <c r="B30" s="1" t="s">
        <v>39</v>
      </c>
      <c r="C30" s="3" t="s">
        <v>43</v>
      </c>
      <c r="D30" s="74">
        <v>675</v>
      </c>
      <c r="E30" s="107">
        <v>15</v>
      </c>
      <c r="F30" s="9">
        <f>D30/E30</f>
        <v>45</v>
      </c>
      <c r="G30" s="8">
        <f>D30-(F30/2)</f>
        <v>652.5</v>
      </c>
      <c r="H30" s="8">
        <f t="shared" ref="H30:P32" si="18">IF((G30-$F30)&gt;0,G30-$F30,0)</f>
        <v>607.5</v>
      </c>
      <c r="I30" s="8">
        <f t="shared" si="18"/>
        <v>562.5</v>
      </c>
      <c r="J30" s="8">
        <f t="shared" si="18"/>
        <v>517.5</v>
      </c>
      <c r="K30" s="8">
        <f t="shared" si="18"/>
        <v>472.5</v>
      </c>
      <c r="L30" s="8">
        <f t="shared" si="18"/>
        <v>427.5</v>
      </c>
      <c r="M30" s="8">
        <f t="shared" si="18"/>
        <v>382.5</v>
      </c>
      <c r="N30" s="8">
        <f t="shared" si="18"/>
        <v>337.5</v>
      </c>
      <c r="O30" s="8">
        <f t="shared" si="18"/>
        <v>292.5</v>
      </c>
      <c r="P30" s="8">
        <f t="shared" si="18"/>
        <v>247.5</v>
      </c>
      <c r="U30" s="20"/>
      <c r="V30" s="16"/>
      <c r="W30" s="16"/>
      <c r="X30" s="16"/>
      <c r="Y30" s="16"/>
      <c r="Z30" s="16"/>
      <c r="AA30" s="16"/>
      <c r="AB30" s="16"/>
      <c r="AC30" s="16"/>
      <c r="AD30" s="16"/>
      <c r="AE30" s="16"/>
    </row>
    <row r="31" spans="2:32">
      <c r="B31" s="1" t="s">
        <v>208</v>
      </c>
      <c r="C31" s="3" t="s">
        <v>52</v>
      </c>
      <c r="D31" s="74">
        <v>5000</v>
      </c>
      <c r="E31" s="107">
        <v>25</v>
      </c>
      <c r="F31" s="9">
        <f>D31/E31</f>
        <v>200</v>
      </c>
      <c r="G31" s="8"/>
      <c r="H31" s="8"/>
      <c r="I31" s="8">
        <f>D31-(F31/2)</f>
        <v>4900</v>
      </c>
      <c r="J31" s="8">
        <f t="shared" si="18"/>
        <v>4700</v>
      </c>
      <c r="K31" s="8">
        <f t="shared" si="18"/>
        <v>4500</v>
      </c>
      <c r="L31" s="8">
        <f t="shared" si="18"/>
        <v>4300</v>
      </c>
      <c r="M31" s="8">
        <f t="shared" si="18"/>
        <v>4100</v>
      </c>
      <c r="N31" s="8">
        <f t="shared" si="18"/>
        <v>3900</v>
      </c>
      <c r="O31" s="8">
        <f t="shared" si="18"/>
        <v>3700</v>
      </c>
      <c r="P31" s="8">
        <f t="shared" si="18"/>
        <v>3500</v>
      </c>
    </row>
    <row r="32" spans="2:32">
      <c r="B32" s="1" t="s">
        <v>63</v>
      </c>
      <c r="C32" s="3" t="s">
        <v>62</v>
      </c>
      <c r="D32" s="74">
        <v>14000</v>
      </c>
      <c r="E32" s="107">
        <v>25</v>
      </c>
      <c r="F32" s="9">
        <f>D32/E32</f>
        <v>560</v>
      </c>
      <c r="H32" s="8"/>
      <c r="I32" s="8"/>
      <c r="J32" s="8"/>
      <c r="K32" s="8"/>
      <c r="L32" s="8"/>
      <c r="M32" s="8"/>
      <c r="N32" s="8">
        <f>D32-(F32/2)</f>
        <v>13720</v>
      </c>
      <c r="O32" s="8">
        <f t="shared" si="18"/>
        <v>13160</v>
      </c>
      <c r="P32" s="8">
        <f t="shared" si="18"/>
        <v>12600</v>
      </c>
    </row>
    <row r="33" spans="2:16">
      <c r="B33" s="10" t="s">
        <v>2</v>
      </c>
      <c r="C33" s="11"/>
      <c r="D33" s="12"/>
      <c r="E33" s="11"/>
      <c r="F33" s="13"/>
      <c r="G33" s="12"/>
      <c r="H33" s="12"/>
      <c r="I33" s="12"/>
      <c r="J33" s="12"/>
      <c r="K33" s="12"/>
      <c r="L33" s="12"/>
      <c r="M33" s="12"/>
      <c r="N33" s="12"/>
      <c r="O33" s="12"/>
      <c r="P33" s="12"/>
    </row>
    <row r="34" spans="2:16">
      <c r="B34" s="24" t="s">
        <v>122</v>
      </c>
      <c r="C34" s="25"/>
      <c r="D34" s="22"/>
      <c r="E34" s="25"/>
      <c r="F34" s="26"/>
      <c r="G34" s="22">
        <f>SUM(G29:G33)</f>
        <v>1336.5</v>
      </c>
      <c r="H34" s="22">
        <f t="shared" ref="H34:P34" si="19">SUM(H29:H33)</f>
        <v>1219.5</v>
      </c>
      <c r="I34" s="22">
        <f t="shared" si="19"/>
        <v>6002.5</v>
      </c>
      <c r="J34" s="22">
        <f t="shared" si="19"/>
        <v>5685.5</v>
      </c>
      <c r="K34" s="22">
        <f t="shared" si="19"/>
        <v>5368.5</v>
      </c>
      <c r="L34" s="22">
        <f t="shared" si="19"/>
        <v>5051.5</v>
      </c>
      <c r="M34" s="22">
        <f t="shared" si="19"/>
        <v>4734.5</v>
      </c>
      <c r="N34" s="22">
        <f t="shared" si="19"/>
        <v>18137.5</v>
      </c>
      <c r="O34" s="22">
        <f t="shared" si="19"/>
        <v>17260.5</v>
      </c>
      <c r="P34" s="22">
        <f t="shared" si="19"/>
        <v>16383.5</v>
      </c>
    </row>
    <row r="35" spans="2:16">
      <c r="B35" s="17" t="s">
        <v>5</v>
      </c>
      <c r="D35" s="8"/>
      <c r="F35" s="9"/>
      <c r="G35" s="8"/>
      <c r="H35" s="8"/>
      <c r="I35" s="8"/>
      <c r="J35" s="8"/>
      <c r="K35" s="8"/>
      <c r="L35" s="8"/>
      <c r="M35" s="8"/>
      <c r="N35" s="8"/>
      <c r="O35" s="8"/>
      <c r="P35" s="8"/>
    </row>
    <row r="36" spans="2:16">
      <c r="B36" s="1" t="s">
        <v>44</v>
      </c>
      <c r="C36" s="3" t="s">
        <v>43</v>
      </c>
      <c r="D36" s="74">
        <v>8400</v>
      </c>
      <c r="E36" s="108"/>
      <c r="F36" s="9"/>
      <c r="G36" s="8">
        <f t="shared" ref="G36" si="20">D36-F36</f>
        <v>8400</v>
      </c>
      <c r="H36" s="8">
        <f t="shared" ref="H36:P36" si="21">IF((G36-$F36)&gt;0,G36-$F36,0)</f>
        <v>8400</v>
      </c>
      <c r="I36" s="8">
        <f t="shared" si="21"/>
        <v>8400</v>
      </c>
      <c r="J36" s="8">
        <f t="shared" si="21"/>
        <v>8400</v>
      </c>
      <c r="K36" s="8">
        <f t="shared" si="21"/>
        <v>8400</v>
      </c>
      <c r="L36" s="8">
        <f t="shared" si="21"/>
        <v>8400</v>
      </c>
      <c r="M36" s="8">
        <f t="shared" si="21"/>
        <v>8400</v>
      </c>
      <c r="N36" s="8">
        <f t="shared" si="21"/>
        <v>8400</v>
      </c>
      <c r="O36" s="8">
        <f t="shared" si="21"/>
        <v>8400</v>
      </c>
      <c r="P36" s="8">
        <f t="shared" si="21"/>
        <v>8400</v>
      </c>
    </row>
    <row r="37" spans="2:16">
      <c r="B37" s="1" t="s">
        <v>45</v>
      </c>
      <c r="C37" s="3" t="s">
        <v>52</v>
      </c>
      <c r="D37" s="74">
        <f>40*850</f>
        <v>34000</v>
      </c>
      <c r="E37" s="108"/>
      <c r="F37" s="9"/>
      <c r="G37" s="8"/>
      <c r="H37" s="8"/>
      <c r="I37" s="8">
        <f>D37</f>
        <v>34000</v>
      </c>
      <c r="J37" s="8">
        <f t="shared" ref="J37:P38" si="22">IF((I37-$F37)&gt;0,I37-$F37,0)</f>
        <v>34000</v>
      </c>
      <c r="K37" s="8">
        <f t="shared" si="22"/>
        <v>34000</v>
      </c>
      <c r="L37" s="8">
        <f t="shared" si="22"/>
        <v>34000</v>
      </c>
      <c r="M37" s="8">
        <f t="shared" si="22"/>
        <v>34000</v>
      </c>
      <c r="N37" s="8">
        <f t="shared" si="22"/>
        <v>34000</v>
      </c>
      <c r="O37" s="8">
        <f t="shared" si="22"/>
        <v>34000</v>
      </c>
      <c r="P37" s="8">
        <f t="shared" si="22"/>
        <v>34000</v>
      </c>
    </row>
    <row r="38" spans="2:16">
      <c r="B38" s="1" t="s">
        <v>61</v>
      </c>
      <c r="C38" s="3" t="s">
        <v>62</v>
      </c>
      <c r="D38" s="74">
        <v>40000</v>
      </c>
      <c r="E38" s="107"/>
      <c r="F38" s="9"/>
      <c r="H38" s="8"/>
      <c r="I38" s="8"/>
      <c r="J38" s="8"/>
      <c r="K38" s="8"/>
      <c r="L38" s="8"/>
      <c r="M38" s="8"/>
      <c r="N38" s="8">
        <f>D38-F38</f>
        <v>40000</v>
      </c>
      <c r="O38" s="8">
        <f t="shared" si="22"/>
        <v>40000</v>
      </c>
      <c r="P38" s="8">
        <f t="shared" si="22"/>
        <v>40000</v>
      </c>
    </row>
    <row r="39" spans="2:16">
      <c r="B39" s="10" t="s">
        <v>2</v>
      </c>
      <c r="C39" s="11"/>
      <c r="D39" s="96">
        <v>0</v>
      </c>
      <c r="E39" s="109"/>
      <c r="F39" s="13"/>
      <c r="G39" s="12"/>
      <c r="H39" s="12"/>
      <c r="I39" s="12"/>
      <c r="J39" s="12"/>
      <c r="K39" s="12"/>
      <c r="L39" s="12"/>
      <c r="M39" s="12"/>
      <c r="N39" s="12"/>
      <c r="O39" s="12"/>
      <c r="P39" s="12"/>
    </row>
    <row r="40" spans="2:16">
      <c r="B40" s="24" t="s">
        <v>122</v>
      </c>
      <c r="C40" s="25"/>
      <c r="D40" s="22"/>
      <c r="E40" s="25"/>
      <c r="F40" s="22"/>
      <c r="G40" s="22">
        <f>SUM(G36:G39)</f>
        <v>8400</v>
      </c>
      <c r="H40" s="22">
        <f t="shared" ref="H40:P40" si="23">SUM(H36:H39)</f>
        <v>8400</v>
      </c>
      <c r="I40" s="22">
        <f t="shared" si="23"/>
        <v>42400</v>
      </c>
      <c r="J40" s="22">
        <f t="shared" si="23"/>
        <v>42400</v>
      </c>
      <c r="K40" s="22">
        <f t="shared" si="23"/>
        <v>42400</v>
      </c>
      <c r="L40" s="22">
        <f t="shared" si="23"/>
        <v>42400</v>
      </c>
      <c r="M40" s="22">
        <f t="shared" si="23"/>
        <v>42400</v>
      </c>
      <c r="N40" s="22">
        <f t="shared" si="23"/>
        <v>82400</v>
      </c>
      <c r="O40" s="22">
        <f t="shared" si="23"/>
        <v>82400</v>
      </c>
      <c r="P40" s="22">
        <f t="shared" si="23"/>
        <v>82400</v>
      </c>
    </row>
    <row r="42" spans="2:16" ht="12.75" customHeight="1">
      <c r="B42" s="56" t="s">
        <v>121</v>
      </c>
      <c r="C42" s="56"/>
      <c r="D42" s="56"/>
      <c r="E42" s="56"/>
      <c r="F42" s="56"/>
      <c r="G42" s="57">
        <f>(D8-G8)+(D13-G13)+(D14-G14)+(D29-G29)+(D30-G30)</f>
        <v>2415.6428571428569</v>
      </c>
      <c r="H42" s="57">
        <f>(G8-H8)+(G9-H9)+(G13-H13)+(G14-H14)+(G15-H15)+(G16-H16)+(G17-H17)+(G18-H18)+(G19-H19)+(G23-H23)+(G24-H24)+(G25-H25)+(G29-H29)+(G30-H30)+(G31-H31)+(G32-H32)</f>
        <v>831.28571428571422</v>
      </c>
      <c r="I42" s="57">
        <f>(H8-I8)+(H9-I9)+(H13-I13)+(D14-I14)+(H15-I15)+(D16-I16)+(H17-I17)+(H18-I18)+(H19-I19)+(H23-I23)+(H24-I24)+(H25-I25)+(H29-I29)+(H30-I30)+(D31-I31)+(H32-I32)</f>
        <v>1214.6190476190475</v>
      </c>
      <c r="J42" s="57">
        <f>(I8-J8)+(I9-J9)+(I13-J13)+(I14-J14)+(I15-J15)+(I16-J16)+(I17-J17)+(I18-J18)+(I19-J19)+(I23-J23)+(I24-J24)+(I25-J25)+(I29-J29)+(I30-J30)+(I31-J31)+(I32-J32)</f>
        <v>1597.952380952381</v>
      </c>
      <c r="K42" s="57">
        <f>(J8-K8)+(D9-K9)+(J13-K13)+(J14-K14)+(J15-K15)+(J16-K16)+(J17-K17)+(J18-K18)+(J19-K19)+(D23-K23)+(D24-K24)+(J25-K25)+(J29-K29)+(J30-K30)+(J31-K31)+(J32-K32)</f>
        <v>3291.2857142857133</v>
      </c>
      <c r="L42" s="57">
        <f>(K8-L8)+(K9-L9)+(K13-L13)+(K14-L14)+(K15-L15)+(K16-L16)+(D17-L17)+(K18-L18)+(K19-L19)+(K23-L23)+(K24-L24)+(K25-L25)+(K29-L29)+(K30-L30)+(K31-L31)+(K32-L32)</f>
        <v>5026.2857142857147</v>
      </c>
      <c r="M42" s="57">
        <f>(L8-M8)+(L9-M9)+(L13-M13)+(L14-M14)+(L15-M15)+(L16-M16)+(L17-M17)+(L18-M18)+(L19-M19)+(L23-M23)+(L24-M24)+(L25-M25)+(L29-M29)+(L30-M30)+(L31-M31)+(L32-M32)</f>
        <v>5067.9523809523807</v>
      </c>
      <c r="N42" s="57">
        <f>(M8-N8)+(M9-N9)+(M13-N13)+(M14-N14)+(M15-N15)+(M16-N16)+(M17-N17)+(M18-N18)+(M19-N19)+(M23-N23)+(M24-N24)+(M25-N25)+(M29-N29)+(M30-N30)+(M31-N31)+(D32-N32)</f>
        <v>4790.8095238095248</v>
      </c>
      <c r="O42" s="57">
        <f>(N8-O8)+(N9-O9)+(N13-O13)+(N14-O14)+(D15-O15)+(N16-O16)+(N17-O17)+(D18-O18)+(D19-O19)+(N23-O23)+(N24-O24)+(D25-O25)+(N29-O29)+(N30-O30)+(N31-O31)+(N32-O32)</f>
        <v>5808.2500000000009</v>
      </c>
      <c r="P42" s="57">
        <f>(O8-P8)+(O9-P9)+(O13-P13)+(O14-P14)+(O15-P15)+(O16-P16)+(O17-P17)+(O18-P18)+(O19-P19)+(O23-P23)+(O24-P24)+(O25-P25)+(O29-P29)+(O30-P30)+(O31-P31)+(O32-P32)</f>
        <v>7102.833333333333</v>
      </c>
    </row>
    <row r="44" spans="2:16">
      <c r="B44" s="14" t="s">
        <v>123</v>
      </c>
    </row>
    <row r="45" spans="2:16">
      <c r="B45" s="15" t="s">
        <v>92</v>
      </c>
    </row>
    <row r="46" spans="2:16">
      <c r="B46" s="14" t="s">
        <v>83</v>
      </c>
    </row>
    <row r="47" spans="2:16">
      <c r="B47" s="14" t="s">
        <v>65</v>
      </c>
    </row>
    <row r="48" spans="2:16">
      <c r="B48" s="14" t="s">
        <v>84</v>
      </c>
    </row>
    <row r="49" spans="2:2">
      <c r="B49" s="14" t="s">
        <v>134</v>
      </c>
    </row>
  </sheetData>
  <mergeCells count="4">
    <mergeCell ref="G4:P4"/>
    <mergeCell ref="B1:P1"/>
    <mergeCell ref="U11:AE11"/>
    <mergeCell ref="B2:P2"/>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dimension ref="B1:N153"/>
  <sheetViews>
    <sheetView workbookViewId="0"/>
  </sheetViews>
  <sheetFormatPr defaultRowHeight="12.75"/>
  <cols>
    <col min="1" max="1" width="4.7109375" style="2" customWidth="1"/>
    <col min="2" max="2" width="30.7109375" style="2" customWidth="1"/>
    <col min="3" max="3" width="10.7109375" style="2" customWidth="1"/>
    <col min="4" max="13" width="11.7109375" style="2" customWidth="1"/>
    <col min="14" max="16384" width="9.140625" style="2"/>
  </cols>
  <sheetData>
    <row r="1" spans="2:14" ht="15.75">
      <c r="B1" s="158" t="s">
        <v>220</v>
      </c>
      <c r="C1" s="158"/>
      <c r="D1" s="158"/>
      <c r="E1" s="158"/>
      <c r="F1" s="158"/>
      <c r="G1" s="158"/>
      <c r="H1" s="158"/>
      <c r="I1" s="158"/>
      <c r="J1" s="158"/>
      <c r="K1" s="158"/>
      <c r="L1" s="158"/>
      <c r="M1" s="158"/>
    </row>
    <row r="2" spans="2:14" ht="15.75" customHeight="1">
      <c r="B2" s="156" t="s">
        <v>151</v>
      </c>
      <c r="C2" s="156"/>
      <c r="D2" s="156"/>
      <c r="E2" s="156"/>
      <c r="F2" s="156"/>
      <c r="G2" s="156"/>
      <c r="H2" s="156"/>
      <c r="I2" s="156"/>
      <c r="J2" s="156"/>
      <c r="K2" s="156"/>
      <c r="L2" s="156"/>
      <c r="M2" s="156"/>
    </row>
    <row r="3" spans="2:14">
      <c r="C3" s="16"/>
    </row>
    <row r="4" spans="2:14" ht="13.5" thickBot="1">
      <c r="C4" s="8"/>
      <c r="D4" s="7" t="s">
        <v>23</v>
      </c>
      <c r="E4" s="7" t="s">
        <v>24</v>
      </c>
      <c r="F4" s="7" t="s">
        <v>25</v>
      </c>
      <c r="G4" s="7" t="s">
        <v>26</v>
      </c>
      <c r="H4" s="7" t="s">
        <v>27</v>
      </c>
      <c r="I4" s="7" t="s">
        <v>28</v>
      </c>
      <c r="J4" s="7" t="s">
        <v>29</v>
      </c>
      <c r="K4" s="7" t="s">
        <v>30</v>
      </c>
      <c r="L4" s="7" t="s">
        <v>31</v>
      </c>
      <c r="M4" s="7" t="s">
        <v>32</v>
      </c>
    </row>
    <row r="5" spans="2:14">
      <c r="C5" s="8"/>
      <c r="D5" s="23"/>
      <c r="E5" s="23"/>
      <c r="F5" s="23"/>
      <c r="G5" s="23"/>
      <c r="H5" s="23"/>
      <c r="I5" s="23"/>
      <c r="J5" s="23"/>
      <c r="K5" s="23"/>
      <c r="L5" s="23"/>
      <c r="M5" s="23"/>
    </row>
    <row r="6" spans="2:14">
      <c r="B6" s="73" t="s">
        <v>14</v>
      </c>
      <c r="C6" s="22"/>
      <c r="D6" s="22"/>
      <c r="E6" s="21"/>
      <c r="F6" s="21"/>
      <c r="G6" s="21"/>
      <c r="H6" s="21"/>
      <c r="I6" s="21"/>
      <c r="J6" s="21"/>
      <c r="K6" s="21"/>
      <c r="L6" s="21"/>
      <c r="M6" s="21"/>
    </row>
    <row r="7" spans="2:14">
      <c r="B7" s="94" t="s">
        <v>205</v>
      </c>
      <c r="D7" s="151">
        <f>'Assets+Depr'!D29</f>
        <v>720</v>
      </c>
      <c r="E7" s="92"/>
      <c r="F7" s="92"/>
      <c r="G7" s="92"/>
      <c r="H7" s="92"/>
      <c r="I7" s="92"/>
      <c r="J7" s="92"/>
      <c r="K7" s="92"/>
      <c r="L7" s="92"/>
      <c r="M7" s="92"/>
    </row>
    <row r="8" spans="2:14">
      <c r="B8" s="94" t="s">
        <v>206</v>
      </c>
      <c r="D8" s="95">
        <v>100</v>
      </c>
      <c r="E8" s="92"/>
      <c r="F8" s="92"/>
      <c r="G8" s="92"/>
      <c r="H8" s="92"/>
      <c r="I8" s="92"/>
      <c r="J8" s="92"/>
      <c r="K8" s="92"/>
      <c r="L8" s="92"/>
      <c r="M8" s="92"/>
    </row>
    <row r="9" spans="2:14">
      <c r="B9" s="1" t="s">
        <v>136</v>
      </c>
      <c r="C9" s="85">
        <f>D7-D8</f>
        <v>620</v>
      </c>
      <c r="D9" s="8">
        <f>C9</f>
        <v>620</v>
      </c>
      <c r="E9" s="8">
        <f>D9-D14</f>
        <v>476.15266378585306</v>
      </c>
      <c r="F9" s="8">
        <f t="shared" ref="F9:G9" si="0">E9-E14</f>
        <v>325.11296076099882</v>
      </c>
      <c r="G9" s="8">
        <f t="shared" si="0"/>
        <v>166.52127258490182</v>
      </c>
      <c r="H9" s="8"/>
    </row>
    <row r="10" spans="2:14">
      <c r="B10" s="1" t="s">
        <v>71</v>
      </c>
      <c r="C10" s="74">
        <v>4</v>
      </c>
      <c r="D10" s="8"/>
      <c r="E10" s="8"/>
      <c r="F10" s="8"/>
      <c r="G10" s="8"/>
      <c r="H10" s="8"/>
    </row>
    <row r="11" spans="2:14">
      <c r="B11" s="1" t="s">
        <v>70</v>
      </c>
      <c r="C11" s="74"/>
      <c r="D11" s="74">
        <v>1</v>
      </c>
      <c r="E11" s="74">
        <v>2</v>
      </c>
      <c r="F11" s="74">
        <v>3</v>
      </c>
      <c r="G11" s="74">
        <v>4</v>
      </c>
      <c r="H11" s="8"/>
    </row>
    <row r="12" spans="2:14">
      <c r="B12" s="1" t="s">
        <v>67</v>
      </c>
      <c r="C12" s="87">
        <v>0.05</v>
      </c>
      <c r="D12" s="8"/>
      <c r="E12" s="8"/>
      <c r="F12" s="8"/>
      <c r="G12" s="8"/>
      <c r="H12" s="8"/>
    </row>
    <row r="13" spans="2:14">
      <c r="B13" s="1" t="s">
        <v>66</v>
      </c>
      <c r="C13" s="16">
        <f>-PMT(C12,C10,C9)</f>
        <v>174.84733621414694</v>
      </c>
      <c r="D13" s="8">
        <f>D14+D15</f>
        <v>174.84733621414694</v>
      </c>
      <c r="E13" s="8">
        <f>E14+E15</f>
        <v>174.84733621414694</v>
      </c>
      <c r="F13" s="8">
        <f t="shared" ref="F13:G13" si="1">F14+F15</f>
        <v>174.84733621414694</v>
      </c>
      <c r="G13" s="8">
        <f t="shared" si="1"/>
        <v>174.84733621414694</v>
      </c>
      <c r="H13" s="8"/>
    </row>
    <row r="14" spans="2:14">
      <c r="B14" s="1" t="s">
        <v>68</v>
      </c>
      <c r="C14" s="8"/>
      <c r="D14" s="8">
        <f>$C13-D15</f>
        <v>143.84733621414694</v>
      </c>
      <c r="E14" s="8">
        <f t="shared" ref="E14:G14" si="2">$C13-E15</f>
        <v>151.03970302485428</v>
      </c>
      <c r="F14" s="8">
        <f t="shared" si="2"/>
        <v>158.59168817609699</v>
      </c>
      <c r="G14" s="8">
        <f t="shared" si="2"/>
        <v>166.52127258490185</v>
      </c>
      <c r="H14" s="8"/>
      <c r="N14" s="8"/>
    </row>
    <row r="15" spans="2:14">
      <c r="B15" s="1" t="s">
        <v>69</v>
      </c>
      <c r="C15" s="8"/>
      <c r="D15" s="8">
        <f>D9*$C12</f>
        <v>31</v>
      </c>
      <c r="E15" s="8">
        <f>E9*$C12</f>
        <v>23.807633189292655</v>
      </c>
      <c r="F15" s="8">
        <f t="shared" ref="F15:G15" si="3">F9*$C12</f>
        <v>16.255648038049941</v>
      </c>
      <c r="G15" s="8">
        <f t="shared" si="3"/>
        <v>8.3260636292450911</v>
      </c>
      <c r="H15" s="8"/>
    </row>
    <row r="16" spans="2:14">
      <c r="B16" s="73" t="s">
        <v>15</v>
      </c>
      <c r="C16" s="22"/>
      <c r="D16" s="22"/>
      <c r="E16" s="21"/>
      <c r="F16" s="21"/>
      <c r="G16" s="21"/>
      <c r="H16" s="21"/>
      <c r="I16" s="21"/>
      <c r="J16" s="21"/>
      <c r="K16" s="21"/>
      <c r="L16" s="21"/>
      <c r="M16" s="21"/>
    </row>
    <row r="17" spans="2:13">
      <c r="B17" s="94" t="s">
        <v>205</v>
      </c>
      <c r="D17" s="151">
        <f>'Assets+Depr'!D8</f>
        <v>5000</v>
      </c>
      <c r="E17" s="92"/>
      <c r="F17" s="92"/>
      <c r="G17" s="92"/>
      <c r="H17" s="92"/>
      <c r="I17" s="92"/>
      <c r="J17" s="92"/>
      <c r="K17" s="92"/>
      <c r="L17" s="92"/>
      <c r="M17" s="92"/>
    </row>
    <row r="18" spans="2:13">
      <c r="B18" s="94" t="s">
        <v>206</v>
      </c>
      <c r="D18" s="95">
        <v>500</v>
      </c>
      <c r="E18" s="92"/>
      <c r="F18" s="92"/>
      <c r="G18" s="92"/>
      <c r="H18" s="92"/>
      <c r="I18" s="92"/>
      <c r="J18" s="92"/>
      <c r="K18" s="92"/>
      <c r="L18" s="92"/>
      <c r="M18" s="92"/>
    </row>
    <row r="19" spans="2:13">
      <c r="B19" s="1" t="s">
        <v>136</v>
      </c>
      <c r="C19" s="85">
        <f>D17-D18</f>
        <v>4500</v>
      </c>
      <c r="D19" s="8">
        <f>C19</f>
        <v>4500</v>
      </c>
      <c r="E19" s="8">
        <f>D19-D24</f>
        <v>3432.3698722725867</v>
      </c>
      <c r="F19" s="8">
        <f t="shared" ref="F19:G19" si="4">E19-E24</f>
        <v>2327.3726900747142</v>
      </c>
      <c r="G19" s="8">
        <f t="shared" si="4"/>
        <v>1183.7006064999159</v>
      </c>
      <c r="H19" s="8"/>
    </row>
    <row r="20" spans="2:13">
      <c r="B20" s="1" t="s">
        <v>71</v>
      </c>
      <c r="C20" s="74">
        <v>4</v>
      </c>
      <c r="D20" s="8"/>
      <c r="E20" s="8"/>
      <c r="F20" s="8"/>
      <c r="G20" s="8"/>
      <c r="H20" s="8"/>
      <c r="J20" s="132"/>
    </row>
    <row r="21" spans="2:13">
      <c r="B21" s="1" t="s">
        <v>70</v>
      </c>
      <c r="C21" s="74"/>
      <c r="D21" s="74">
        <v>1</v>
      </c>
      <c r="E21" s="74">
        <v>2</v>
      </c>
      <c r="F21" s="74">
        <v>3</v>
      </c>
      <c r="G21" s="74">
        <v>4</v>
      </c>
      <c r="H21" s="8"/>
    </row>
    <row r="22" spans="2:13">
      <c r="B22" s="1" t="s">
        <v>67</v>
      </c>
      <c r="C22" s="87">
        <v>3.5000000000000003E-2</v>
      </c>
      <c r="D22" s="8"/>
      <c r="E22" s="8"/>
      <c r="F22" s="8"/>
      <c r="G22" s="8"/>
      <c r="H22" s="8"/>
    </row>
    <row r="23" spans="2:13">
      <c r="B23" s="1" t="s">
        <v>66</v>
      </c>
      <c r="C23" s="16">
        <f>-PMT(C22,C20,C19)</f>
        <v>1225.1301277274133</v>
      </c>
      <c r="D23" s="8">
        <f>D24+D25</f>
        <v>1225.1301277274133</v>
      </c>
      <c r="E23" s="8">
        <f>E24+E25</f>
        <v>1225.1301277274133</v>
      </c>
      <c r="F23" s="8">
        <f t="shared" ref="F23" si="5">F24+F25</f>
        <v>1225.1301277274133</v>
      </c>
      <c r="G23" s="8">
        <f t="shared" ref="G23" si="6">G24+G25</f>
        <v>1225.1301277274133</v>
      </c>
      <c r="H23" s="8"/>
    </row>
    <row r="24" spans="2:13">
      <c r="B24" s="1" t="s">
        <v>68</v>
      </c>
      <c r="C24" s="8"/>
      <c r="D24" s="8">
        <f>$C23-D25</f>
        <v>1067.6301277274133</v>
      </c>
      <c r="E24" s="8">
        <f>$C23-E25</f>
        <v>1104.9971821978727</v>
      </c>
      <c r="F24" s="8">
        <f>$C23-F25</f>
        <v>1143.6720835747983</v>
      </c>
      <c r="G24" s="8">
        <f>$C23-G25</f>
        <v>1183.7006064999161</v>
      </c>
      <c r="H24" s="8"/>
    </row>
    <row r="25" spans="2:13">
      <c r="B25" s="1" t="s">
        <v>69</v>
      </c>
      <c r="C25" s="8"/>
      <c r="D25" s="8">
        <f>D19*$C22</f>
        <v>157.50000000000003</v>
      </c>
      <c r="E25" s="8">
        <f>E19*$C22</f>
        <v>120.13294552954055</v>
      </c>
      <c r="F25" s="8">
        <f>F19*$C22</f>
        <v>81.458044152615003</v>
      </c>
      <c r="G25" s="8">
        <f>G19*$C22</f>
        <v>41.429521227497062</v>
      </c>
      <c r="H25" s="8"/>
    </row>
    <row r="26" spans="2:13">
      <c r="B26" s="73" t="s">
        <v>135</v>
      </c>
      <c r="C26" s="22"/>
      <c r="D26" s="22"/>
      <c r="E26" s="21"/>
      <c r="F26" s="21"/>
      <c r="G26" s="21"/>
      <c r="H26" s="21"/>
      <c r="I26" s="21"/>
      <c r="J26" s="21"/>
      <c r="K26" s="21"/>
      <c r="L26" s="21"/>
      <c r="M26" s="21"/>
    </row>
    <row r="27" spans="2:13">
      <c r="B27" s="94" t="s">
        <v>205</v>
      </c>
      <c r="D27" s="93"/>
      <c r="E27" s="92"/>
      <c r="F27" s="151">
        <f>'Assets+Depr'!D31</f>
        <v>5000</v>
      </c>
      <c r="G27" s="92"/>
      <c r="H27" s="92"/>
      <c r="I27" s="92"/>
      <c r="J27" s="92"/>
      <c r="K27" s="92"/>
      <c r="L27" s="92"/>
      <c r="M27" s="92"/>
    </row>
    <row r="28" spans="2:13">
      <c r="B28" s="94" t="s">
        <v>206</v>
      </c>
      <c r="D28" s="93"/>
      <c r="E28" s="92"/>
      <c r="F28" s="95">
        <v>1000</v>
      </c>
      <c r="G28" s="92"/>
      <c r="H28" s="92"/>
      <c r="I28" s="92"/>
      <c r="J28" s="92"/>
      <c r="K28" s="92"/>
      <c r="L28" s="92"/>
      <c r="M28" s="92"/>
    </row>
    <row r="29" spans="2:13">
      <c r="B29" s="1" t="s">
        <v>136</v>
      </c>
      <c r="C29" s="86">
        <f>F27-F28</f>
        <v>4000</v>
      </c>
      <c r="F29" s="8">
        <f>C29</f>
        <v>4000</v>
      </c>
      <c r="G29" s="8">
        <f>F29-F34</f>
        <v>3276.1008074869278</v>
      </c>
      <c r="H29" s="8">
        <f t="shared" ref="H29" si="7">G29-G34</f>
        <v>2516.006655348202</v>
      </c>
      <c r="I29" s="8">
        <f t="shared" ref="I29:J29" si="8">H29-H34</f>
        <v>1717.9077956025396</v>
      </c>
      <c r="J29" s="8">
        <f t="shared" si="8"/>
        <v>879.90399286959416</v>
      </c>
    </row>
    <row r="30" spans="2:13">
      <c r="B30" s="1" t="s">
        <v>71</v>
      </c>
      <c r="C30" s="74">
        <v>5</v>
      </c>
      <c r="F30" s="8"/>
      <c r="G30" s="8"/>
      <c r="H30" s="8"/>
      <c r="I30" s="8"/>
      <c r="J30" s="8"/>
    </row>
    <row r="31" spans="2:13">
      <c r="B31" s="1" t="s">
        <v>70</v>
      </c>
      <c r="C31" s="74"/>
      <c r="F31" s="74">
        <v>1</v>
      </c>
      <c r="G31" s="74">
        <v>2</v>
      </c>
      <c r="H31" s="74">
        <v>3</v>
      </c>
      <c r="I31" s="74">
        <v>4</v>
      </c>
      <c r="J31" s="74">
        <v>5</v>
      </c>
    </row>
    <row r="32" spans="2:13">
      <c r="B32" s="1" t="s">
        <v>67</v>
      </c>
      <c r="C32" s="87">
        <v>0.05</v>
      </c>
      <c r="F32" s="8"/>
      <c r="G32" s="8"/>
      <c r="H32" s="8"/>
      <c r="I32" s="8"/>
      <c r="J32" s="8"/>
    </row>
    <row r="33" spans="2:14">
      <c r="B33" s="1" t="s">
        <v>66</v>
      </c>
      <c r="C33" s="16">
        <f>-PMT(C32,C30,C29)</f>
        <v>923.89919251307242</v>
      </c>
      <c r="F33" s="8">
        <f>F34+F35</f>
        <v>923.89919251307242</v>
      </c>
      <c r="G33" s="8">
        <f>G34+G35</f>
        <v>923.89919251307242</v>
      </c>
      <c r="H33" s="8">
        <f t="shared" ref="H33:I33" si="9">H34+H35</f>
        <v>923.89919251307242</v>
      </c>
      <c r="I33" s="8">
        <f t="shared" si="9"/>
        <v>923.89919251307242</v>
      </c>
      <c r="J33" s="8">
        <f t="shared" ref="J33" si="10">J34+J35</f>
        <v>923.89919251307242</v>
      </c>
    </row>
    <row r="34" spans="2:14">
      <c r="B34" s="1" t="s">
        <v>68</v>
      </c>
      <c r="C34" s="8"/>
      <c r="F34" s="8">
        <f>$C33-F35</f>
        <v>723.89919251307242</v>
      </c>
      <c r="G34" s="8">
        <f>$C33-G35</f>
        <v>760.09415213872603</v>
      </c>
      <c r="H34" s="8">
        <f>$C33-H35</f>
        <v>798.09885974566237</v>
      </c>
      <c r="I34" s="8">
        <f>$C33-I35</f>
        <v>838.00380273294547</v>
      </c>
      <c r="J34" s="8">
        <f>$C33-J35</f>
        <v>879.90399286959268</v>
      </c>
    </row>
    <row r="35" spans="2:14">
      <c r="B35" s="1" t="s">
        <v>69</v>
      </c>
      <c r="C35" s="8"/>
      <c r="F35" s="8">
        <f>F29*$C32</f>
        <v>200</v>
      </c>
      <c r="G35" s="8">
        <f>G29*$C32</f>
        <v>163.80504037434639</v>
      </c>
      <c r="H35" s="8">
        <f>H29*$C32</f>
        <v>125.80033276741011</v>
      </c>
      <c r="I35" s="8">
        <f>I29*$C32</f>
        <v>85.89538978012699</v>
      </c>
      <c r="J35" s="8">
        <f>J29*$C32</f>
        <v>43.995199643479708</v>
      </c>
    </row>
    <row r="36" spans="2:14">
      <c r="B36" s="73" t="s">
        <v>207</v>
      </c>
      <c r="C36" s="22"/>
      <c r="D36" s="22"/>
      <c r="E36" s="21"/>
      <c r="F36" s="21"/>
      <c r="G36" s="21"/>
      <c r="H36" s="21"/>
      <c r="I36" s="21"/>
      <c r="J36" s="21"/>
      <c r="K36" s="21"/>
      <c r="L36" s="21"/>
      <c r="M36" s="21"/>
    </row>
    <row r="37" spans="2:14">
      <c r="B37" s="94" t="s">
        <v>205</v>
      </c>
      <c r="D37" s="93"/>
      <c r="E37" s="92"/>
      <c r="F37" s="151">
        <f>'Assets+Depr'!D14</f>
        <v>2000</v>
      </c>
      <c r="G37" s="92"/>
      <c r="H37" s="92"/>
      <c r="I37" s="92"/>
      <c r="J37" s="92"/>
      <c r="K37" s="92"/>
      <c r="L37" s="92"/>
      <c r="M37" s="92"/>
    </row>
    <row r="38" spans="2:14">
      <c r="B38" s="94" t="s">
        <v>206</v>
      </c>
      <c r="D38" s="93"/>
      <c r="E38" s="92"/>
      <c r="F38" s="95">
        <v>2000</v>
      </c>
      <c r="G38" s="92"/>
      <c r="H38" s="92"/>
      <c r="I38" s="92"/>
      <c r="J38" s="92"/>
      <c r="K38" s="92"/>
      <c r="L38" s="92"/>
      <c r="M38" s="92"/>
    </row>
    <row r="39" spans="2:14">
      <c r="B39" s="1" t="s">
        <v>136</v>
      </c>
      <c r="C39" s="86">
        <f>F37-F38</f>
        <v>0</v>
      </c>
      <c r="F39" s="8">
        <f>C39</f>
        <v>0</v>
      </c>
      <c r="G39" s="8">
        <f>F39-F44</f>
        <v>0</v>
      </c>
      <c r="H39" s="8">
        <f t="shared" ref="H39" si="11">G39-G44</f>
        <v>0</v>
      </c>
      <c r="I39" s="8">
        <f t="shared" ref="I39" si="12">H39-H44</f>
        <v>0</v>
      </c>
      <c r="J39" s="8">
        <f t="shared" ref="J39" si="13">I39-I44</f>
        <v>0</v>
      </c>
      <c r="N39" s="8"/>
    </row>
    <row r="40" spans="2:14">
      <c r="B40" s="1" t="s">
        <v>71</v>
      </c>
      <c r="C40" s="74">
        <v>5</v>
      </c>
      <c r="F40" s="8"/>
      <c r="G40" s="8"/>
      <c r="H40" s="8"/>
      <c r="I40" s="8"/>
      <c r="J40" s="8"/>
    </row>
    <row r="41" spans="2:14">
      <c r="B41" s="1" t="s">
        <v>70</v>
      </c>
      <c r="C41" s="74"/>
      <c r="F41" s="74">
        <v>1</v>
      </c>
      <c r="G41" s="74">
        <v>2</v>
      </c>
      <c r="H41" s="74">
        <v>3</v>
      </c>
      <c r="I41" s="74">
        <v>4</v>
      </c>
      <c r="J41" s="74">
        <v>5</v>
      </c>
    </row>
    <row r="42" spans="2:14">
      <c r="B42" s="1" t="s">
        <v>67</v>
      </c>
      <c r="C42" s="87">
        <v>0.05</v>
      </c>
      <c r="F42" s="8"/>
      <c r="G42" s="8"/>
      <c r="H42" s="8"/>
      <c r="I42" s="8"/>
      <c r="J42" s="8"/>
    </row>
    <row r="43" spans="2:14">
      <c r="B43" s="1" t="s">
        <v>66</v>
      </c>
      <c r="C43" s="16">
        <f>-PMT(C42,C40,C39)</f>
        <v>0</v>
      </c>
      <c r="F43" s="8">
        <f>F44+F45</f>
        <v>0</v>
      </c>
      <c r="G43" s="8">
        <f>G44+G45</f>
        <v>0</v>
      </c>
      <c r="H43" s="8">
        <f t="shared" ref="H43:J43" si="14">H44+H45</f>
        <v>0</v>
      </c>
      <c r="I43" s="8">
        <f t="shared" si="14"/>
        <v>0</v>
      </c>
      <c r="J43" s="8">
        <f t="shared" si="14"/>
        <v>0</v>
      </c>
    </row>
    <row r="44" spans="2:14">
      <c r="B44" s="1" t="s">
        <v>68</v>
      </c>
      <c r="C44" s="8"/>
      <c r="F44" s="8">
        <f>$C43-F45</f>
        <v>0</v>
      </c>
      <c r="G44" s="8">
        <f>$C43-G45</f>
        <v>0</v>
      </c>
      <c r="H44" s="8">
        <f>$C43-H45</f>
        <v>0</v>
      </c>
      <c r="I44" s="8">
        <f>$C43-I45</f>
        <v>0</v>
      </c>
      <c r="J44" s="8">
        <f>$C43-J45</f>
        <v>0</v>
      </c>
    </row>
    <row r="45" spans="2:14">
      <c r="B45" s="1" t="s">
        <v>69</v>
      </c>
      <c r="C45" s="8"/>
      <c r="F45" s="8">
        <f>F39*$C42</f>
        <v>0</v>
      </c>
      <c r="G45" s="8">
        <f>G39*$C42</f>
        <v>0</v>
      </c>
      <c r="H45" s="8">
        <f>H39*$C42</f>
        <v>0</v>
      </c>
      <c r="I45" s="8">
        <f>I39*$C42</f>
        <v>0</v>
      </c>
      <c r="J45" s="8">
        <f>J39*$C42</f>
        <v>0</v>
      </c>
    </row>
    <row r="46" spans="2:14">
      <c r="B46" s="73" t="s">
        <v>209</v>
      </c>
      <c r="C46" s="22"/>
      <c r="D46" s="22"/>
      <c r="E46" s="21"/>
      <c r="F46" s="21"/>
      <c r="G46" s="21"/>
      <c r="H46" s="21"/>
      <c r="I46" s="21"/>
      <c r="J46" s="21"/>
      <c r="K46" s="21"/>
      <c r="L46" s="21"/>
      <c r="M46" s="21"/>
    </row>
    <row r="47" spans="2:14">
      <c r="B47" s="94" t="s">
        <v>205</v>
      </c>
      <c r="D47" s="93"/>
      <c r="E47" s="92"/>
      <c r="F47" s="151">
        <v>500</v>
      </c>
      <c r="G47" s="92"/>
      <c r="H47" s="92"/>
      <c r="I47" s="92"/>
      <c r="J47" s="92"/>
      <c r="K47" s="92"/>
      <c r="L47" s="92"/>
      <c r="M47" s="92"/>
    </row>
    <row r="48" spans="2:14">
      <c r="B48" s="94" t="s">
        <v>206</v>
      </c>
      <c r="D48" s="93"/>
      <c r="E48" s="92"/>
      <c r="F48" s="95">
        <v>500</v>
      </c>
      <c r="G48" s="92"/>
      <c r="H48" s="92"/>
      <c r="I48" s="92"/>
      <c r="J48" s="92"/>
      <c r="K48" s="92"/>
      <c r="L48" s="92"/>
      <c r="M48" s="92"/>
    </row>
    <row r="49" spans="2:13">
      <c r="B49" s="1" t="s">
        <v>136</v>
      </c>
      <c r="C49" s="86">
        <f>F47-F48</f>
        <v>0</v>
      </c>
      <c r="F49" s="132">
        <f>C49</f>
        <v>0</v>
      </c>
      <c r="G49" s="132">
        <f>F49-F54</f>
        <v>0</v>
      </c>
      <c r="H49" s="132">
        <f t="shared" ref="H49" si="15">G49-G54</f>
        <v>0</v>
      </c>
      <c r="I49" s="132">
        <f t="shared" ref="I49" si="16">H49-H54</f>
        <v>0</v>
      </c>
      <c r="J49" s="132">
        <f t="shared" ref="J49" si="17">I49-I54</f>
        <v>0</v>
      </c>
    </row>
    <row r="50" spans="2:13">
      <c r="B50" s="1" t="s">
        <v>71</v>
      </c>
      <c r="C50" s="141">
        <v>5</v>
      </c>
      <c r="F50" s="132"/>
      <c r="G50" s="132"/>
      <c r="H50" s="132"/>
      <c r="I50" s="132"/>
      <c r="J50" s="132"/>
    </row>
    <row r="51" spans="2:13">
      <c r="B51" s="1" t="s">
        <v>70</v>
      </c>
      <c r="C51" s="141"/>
      <c r="F51" s="141">
        <v>1</v>
      </c>
      <c r="G51" s="141">
        <v>2</v>
      </c>
      <c r="H51" s="141">
        <v>3</v>
      </c>
      <c r="I51" s="141">
        <v>4</v>
      </c>
      <c r="J51" s="141">
        <v>5</v>
      </c>
    </row>
    <row r="52" spans="2:13">
      <c r="B52" s="1" t="s">
        <v>67</v>
      </c>
      <c r="C52" s="87">
        <v>0.05</v>
      </c>
      <c r="F52" s="132"/>
      <c r="G52" s="132"/>
      <c r="H52" s="132"/>
      <c r="I52" s="132"/>
      <c r="J52" s="132"/>
    </row>
    <row r="53" spans="2:13">
      <c r="B53" s="1" t="s">
        <v>66</v>
      </c>
      <c r="C53" s="16">
        <f>-PMT(C52,C50,C49)</f>
        <v>0</v>
      </c>
      <c r="F53" s="132">
        <f>F54+F55</f>
        <v>0</v>
      </c>
      <c r="G53" s="132">
        <f>G54+G55</f>
        <v>0</v>
      </c>
      <c r="H53" s="132">
        <f t="shared" ref="H53:J53" si="18">H54+H55</f>
        <v>0</v>
      </c>
      <c r="I53" s="132">
        <f t="shared" si="18"/>
        <v>0</v>
      </c>
      <c r="J53" s="132">
        <f t="shared" si="18"/>
        <v>0</v>
      </c>
    </row>
    <row r="54" spans="2:13">
      <c r="B54" s="1" t="s">
        <v>68</v>
      </c>
      <c r="C54" s="132"/>
      <c r="F54" s="132">
        <f>$C53-F55</f>
        <v>0</v>
      </c>
      <c r="G54" s="132">
        <f>$C53-G55</f>
        <v>0</v>
      </c>
      <c r="H54" s="132">
        <f>$C53-H55</f>
        <v>0</v>
      </c>
      <c r="I54" s="132">
        <f>$C53-I55</f>
        <v>0</v>
      </c>
      <c r="J54" s="132">
        <f>$C53-J55</f>
        <v>0</v>
      </c>
    </row>
    <row r="55" spans="2:13">
      <c r="B55" s="1" t="s">
        <v>69</v>
      </c>
      <c r="C55" s="132"/>
      <c r="F55" s="132">
        <f>F49*$C52</f>
        <v>0</v>
      </c>
      <c r="G55" s="132">
        <f>G49*$C52</f>
        <v>0</v>
      </c>
      <c r="H55" s="132">
        <f>H49*$C52</f>
        <v>0</v>
      </c>
      <c r="I55" s="132">
        <f>I49*$C52</f>
        <v>0</v>
      </c>
      <c r="J55" s="132">
        <f>J49*$C52</f>
        <v>0</v>
      </c>
    </row>
    <row r="56" spans="2:13">
      <c r="B56" s="73" t="s">
        <v>74</v>
      </c>
      <c r="C56" s="21"/>
      <c r="D56" s="21"/>
      <c r="E56" s="21"/>
      <c r="F56" s="21"/>
      <c r="G56" s="21"/>
      <c r="H56" s="21"/>
      <c r="I56" s="21"/>
      <c r="J56" s="21"/>
      <c r="K56" s="21"/>
      <c r="L56" s="21"/>
      <c r="M56" s="21"/>
    </row>
    <row r="57" spans="2:13">
      <c r="B57" s="94" t="s">
        <v>205</v>
      </c>
      <c r="D57" s="93"/>
      <c r="E57" s="92"/>
      <c r="F57" s="151">
        <f>'Assets+Depr'!D37</f>
        <v>34000</v>
      </c>
      <c r="G57" s="92"/>
      <c r="I57" s="92"/>
      <c r="J57" s="92"/>
      <c r="K57" s="92"/>
      <c r="L57" s="92"/>
      <c r="M57" s="92"/>
    </row>
    <row r="58" spans="2:13">
      <c r="B58" s="94" t="s">
        <v>206</v>
      </c>
      <c r="D58" s="93"/>
      <c r="E58" s="92"/>
      <c r="F58" s="95">
        <v>3400</v>
      </c>
      <c r="G58" s="92"/>
      <c r="I58" s="92"/>
      <c r="J58" s="92"/>
      <c r="K58" s="92"/>
      <c r="L58" s="92"/>
      <c r="M58" s="92"/>
    </row>
    <row r="59" spans="2:13">
      <c r="B59" s="1" t="s">
        <v>136</v>
      </c>
      <c r="C59" s="85">
        <f>F57-F58</f>
        <v>30600</v>
      </c>
      <c r="F59" s="8">
        <f>C59</f>
        <v>30600</v>
      </c>
      <c r="G59" s="8">
        <f>F59-F64</f>
        <v>29071.80232864822</v>
      </c>
      <c r="H59" s="8">
        <f t="shared" ref="H59:J59" si="19">G59-G64</f>
        <v>27482.476750442369</v>
      </c>
      <c r="I59" s="8">
        <f t="shared" si="19"/>
        <v>25829.578149108285</v>
      </c>
      <c r="J59" s="8">
        <f t="shared" si="19"/>
        <v>24110.563603720839</v>
      </c>
      <c r="K59" s="8">
        <f t="shared" ref="K59:M59" si="20">J59-J64</f>
        <v>22322.788476517893</v>
      </c>
      <c r="L59" s="8">
        <f t="shared" si="20"/>
        <v>20463.502344226828</v>
      </c>
      <c r="M59" s="8">
        <f t="shared" si="20"/>
        <v>18529.844766644121</v>
      </c>
    </row>
    <row r="60" spans="2:13">
      <c r="B60" s="1" t="s">
        <v>71</v>
      </c>
      <c r="C60" s="74">
        <v>15</v>
      </c>
      <c r="F60" s="8"/>
      <c r="G60" s="8"/>
      <c r="H60" s="8"/>
      <c r="I60" s="8"/>
      <c r="J60" s="8"/>
      <c r="K60" s="8"/>
      <c r="L60" s="8"/>
      <c r="M60" s="8"/>
    </row>
    <row r="61" spans="2:13">
      <c r="B61" s="1" t="s">
        <v>70</v>
      </c>
      <c r="C61" s="74"/>
      <c r="F61" s="74">
        <v>1</v>
      </c>
      <c r="G61" s="74">
        <v>2</v>
      </c>
      <c r="H61" s="74">
        <v>3</v>
      </c>
      <c r="I61" s="74">
        <v>5</v>
      </c>
      <c r="J61" s="74">
        <v>6</v>
      </c>
      <c r="K61" s="74">
        <v>7</v>
      </c>
      <c r="L61" s="74">
        <v>8</v>
      </c>
      <c r="M61" s="74">
        <v>9</v>
      </c>
    </row>
    <row r="62" spans="2:13">
      <c r="B62" s="1" t="s">
        <v>67</v>
      </c>
      <c r="C62" s="87">
        <v>0.04</v>
      </c>
      <c r="F62" s="8"/>
      <c r="G62" s="8"/>
      <c r="H62" s="8"/>
      <c r="I62" s="8"/>
      <c r="J62" s="8"/>
      <c r="K62" s="8"/>
      <c r="L62" s="8"/>
      <c r="M62" s="8"/>
    </row>
    <row r="63" spans="2:13">
      <c r="B63" s="1" t="s">
        <v>66</v>
      </c>
      <c r="C63" s="16">
        <f>-PMT(C62,C60,C59)</f>
        <v>2752.1976713517797</v>
      </c>
      <c r="F63" s="8">
        <f>F64+F65</f>
        <v>2752.1976713517797</v>
      </c>
      <c r="G63" s="8">
        <f>G64+G65</f>
        <v>2752.1976713517797</v>
      </c>
      <c r="H63" s="8">
        <f t="shared" ref="H63" si="21">H64+H65</f>
        <v>2752.1976713517797</v>
      </c>
      <c r="I63" s="8">
        <f t="shared" ref="I63" si="22">I64+I65</f>
        <v>2752.1976713517797</v>
      </c>
      <c r="J63" s="8">
        <f t="shared" ref="J63" si="23">J64+J65</f>
        <v>2752.1976713517797</v>
      </c>
      <c r="K63" s="8">
        <f t="shared" ref="K63" si="24">K64+K65</f>
        <v>2752.1976713517797</v>
      </c>
      <c r="L63" s="8">
        <f t="shared" ref="L63" si="25">L64+L65</f>
        <v>2752.1976713517797</v>
      </c>
      <c r="M63" s="8">
        <f t="shared" ref="M63" si="26">M64+M65</f>
        <v>2752.1976713517797</v>
      </c>
    </row>
    <row r="64" spans="2:13">
      <c r="B64" s="1" t="s">
        <v>68</v>
      </c>
      <c r="C64" s="8"/>
      <c r="F64" s="8">
        <f t="shared" ref="F64:M64" si="27">$C63-F65</f>
        <v>1528.1976713517797</v>
      </c>
      <c r="G64" s="8">
        <f t="shared" si="27"/>
        <v>1589.3255782058509</v>
      </c>
      <c r="H64" s="8">
        <f t="shared" si="27"/>
        <v>1652.898601334085</v>
      </c>
      <c r="I64" s="8">
        <f t="shared" si="27"/>
        <v>1719.0145453874484</v>
      </c>
      <c r="J64" s="8">
        <f t="shared" si="27"/>
        <v>1787.7751272029461</v>
      </c>
      <c r="K64" s="8">
        <f t="shared" si="27"/>
        <v>1859.286132291064</v>
      </c>
      <c r="L64" s="8">
        <f t="shared" si="27"/>
        <v>1933.6575775827066</v>
      </c>
      <c r="M64" s="8">
        <f t="shared" si="27"/>
        <v>2011.0038806860148</v>
      </c>
    </row>
    <row r="65" spans="2:13">
      <c r="B65" s="1" t="s">
        <v>69</v>
      </c>
      <c r="C65" s="8"/>
      <c r="F65" s="8">
        <f t="shared" ref="F65:M65" si="28">F59*$C62</f>
        <v>1224</v>
      </c>
      <c r="G65" s="8">
        <f t="shared" si="28"/>
        <v>1162.8720931459288</v>
      </c>
      <c r="H65" s="8">
        <f t="shared" si="28"/>
        <v>1099.2990700176947</v>
      </c>
      <c r="I65" s="8">
        <f t="shared" si="28"/>
        <v>1033.1831259643313</v>
      </c>
      <c r="J65" s="8">
        <f t="shared" si="28"/>
        <v>964.42254414883359</v>
      </c>
      <c r="K65" s="8">
        <f t="shared" si="28"/>
        <v>892.91153906071577</v>
      </c>
      <c r="L65" s="8">
        <f t="shared" si="28"/>
        <v>818.54009376907311</v>
      </c>
      <c r="M65" s="8">
        <f t="shared" si="28"/>
        <v>741.19379066576482</v>
      </c>
    </row>
    <row r="66" spans="2:13">
      <c r="B66" s="73" t="s">
        <v>85</v>
      </c>
      <c r="C66" s="21"/>
      <c r="D66" s="21"/>
      <c r="E66" s="21"/>
      <c r="F66" s="21"/>
      <c r="G66" s="21"/>
      <c r="H66" s="21"/>
      <c r="I66" s="21"/>
      <c r="J66" s="21"/>
      <c r="K66" s="21"/>
      <c r="L66" s="21"/>
      <c r="M66" s="21"/>
    </row>
    <row r="67" spans="2:13">
      <c r="B67" s="94" t="s">
        <v>205</v>
      </c>
      <c r="D67" s="93"/>
      <c r="E67" s="92"/>
      <c r="F67" s="92"/>
      <c r="G67" s="92"/>
      <c r="H67" s="151">
        <f>'Assets+Depr'!D9</f>
        <v>25000</v>
      </c>
      <c r="I67" s="92"/>
      <c r="J67" s="92"/>
      <c r="K67" s="92"/>
      <c r="L67" s="92"/>
      <c r="M67" s="92"/>
    </row>
    <row r="68" spans="2:13">
      <c r="B68" s="94" t="s">
        <v>206</v>
      </c>
      <c r="D68" s="93"/>
      <c r="E68" s="92"/>
      <c r="F68" s="92"/>
      <c r="G68" s="92"/>
      <c r="H68" s="95">
        <v>3500</v>
      </c>
      <c r="I68" s="92"/>
      <c r="J68" s="92"/>
      <c r="K68" s="92"/>
      <c r="L68" s="92"/>
      <c r="M68" s="92"/>
    </row>
    <row r="69" spans="2:13">
      <c r="B69" s="1" t="s">
        <v>136</v>
      </c>
      <c r="C69" s="85">
        <f>H67-H68</f>
        <v>21500</v>
      </c>
      <c r="H69" s="8">
        <f>C69</f>
        <v>21500</v>
      </c>
      <c r="I69" s="8">
        <f>H69-H74</f>
        <v>18278.927871148906</v>
      </c>
      <c r="J69" s="8">
        <f t="shared" ref="J69:K69" si="29">I69-I74</f>
        <v>14920.960176821642</v>
      </c>
      <c r="K69" s="8">
        <f t="shared" si="29"/>
        <v>11420.278855485467</v>
      </c>
      <c r="L69" s="8">
        <f t="shared" ref="L69:M69" si="30">K69-K74</f>
        <v>7770.8185779925052</v>
      </c>
      <c r="M69" s="8">
        <f t="shared" si="30"/>
        <v>3966.2562387060925</v>
      </c>
    </row>
    <row r="70" spans="2:13">
      <c r="B70" s="1" t="s">
        <v>71</v>
      </c>
      <c r="C70" s="74">
        <v>6</v>
      </c>
      <c r="H70" s="8"/>
      <c r="I70" s="8"/>
      <c r="J70" s="8"/>
      <c r="K70" s="8"/>
      <c r="L70" s="8"/>
      <c r="M70" s="8"/>
    </row>
    <row r="71" spans="2:13">
      <c r="B71" s="1" t="s">
        <v>70</v>
      </c>
      <c r="C71" s="74"/>
      <c r="H71" s="74">
        <v>1</v>
      </c>
      <c r="I71" s="74">
        <v>2</v>
      </c>
      <c r="J71" s="74">
        <v>3</v>
      </c>
      <c r="K71" s="74">
        <v>4</v>
      </c>
      <c r="L71" s="74">
        <v>5</v>
      </c>
      <c r="M71" s="74">
        <v>6</v>
      </c>
    </row>
    <row r="72" spans="2:13">
      <c r="B72" s="1" t="s">
        <v>67</v>
      </c>
      <c r="C72" s="87">
        <v>4.2500000000000003E-2</v>
      </c>
      <c r="H72" s="8"/>
      <c r="I72" s="8"/>
      <c r="J72" s="8"/>
      <c r="K72" s="8"/>
      <c r="L72" s="8"/>
      <c r="M72" s="8"/>
    </row>
    <row r="73" spans="2:13">
      <c r="B73" s="1" t="s">
        <v>66</v>
      </c>
      <c r="C73" s="16">
        <f>-PMT(C72,C70,C69)</f>
        <v>4134.822128851094</v>
      </c>
      <c r="H73" s="8">
        <f>H74+H75</f>
        <v>4134.822128851094</v>
      </c>
      <c r="I73" s="8">
        <f>I74+I75</f>
        <v>4134.822128851094</v>
      </c>
      <c r="J73" s="8">
        <f t="shared" ref="J73" si="31">J74+J75</f>
        <v>4134.822128851094</v>
      </c>
      <c r="K73" s="8">
        <f t="shared" ref="K73" si="32">K74+K75</f>
        <v>4134.822128851094</v>
      </c>
      <c r="L73" s="8">
        <f t="shared" ref="L73" si="33">L74+L75</f>
        <v>4134.822128851094</v>
      </c>
      <c r="M73" s="8">
        <f t="shared" ref="M73" si="34">M74+M75</f>
        <v>4134.822128851094</v>
      </c>
    </row>
    <row r="74" spans="2:13">
      <c r="B74" s="1" t="s">
        <v>68</v>
      </c>
      <c r="C74" s="8"/>
      <c r="H74" s="8">
        <f>$C73-H75</f>
        <v>3221.072128851094</v>
      </c>
      <c r="I74" s="8">
        <f>$C73-I75</f>
        <v>3357.9676943272652</v>
      </c>
      <c r="J74" s="8">
        <f>$C73-J75</f>
        <v>3500.6813213361743</v>
      </c>
      <c r="K74" s="8">
        <f>$C73-K75</f>
        <v>3649.4602774929617</v>
      </c>
      <c r="L74" s="8">
        <f t="shared" ref="L74:M74" si="35">$C73-L75</f>
        <v>3804.5623392864127</v>
      </c>
      <c r="M74" s="8">
        <f t="shared" si="35"/>
        <v>3966.2562387060852</v>
      </c>
    </row>
    <row r="75" spans="2:13">
      <c r="B75" s="1" t="s">
        <v>69</v>
      </c>
      <c r="C75" s="8"/>
      <c r="H75" s="8">
        <f>H69*$C72</f>
        <v>913.75000000000011</v>
      </c>
      <c r="I75" s="8">
        <f>I69*$C72</f>
        <v>776.85443452382856</v>
      </c>
      <c r="J75" s="8">
        <f>J69*$C72</f>
        <v>634.14080751491986</v>
      </c>
      <c r="K75" s="8">
        <f>K69*$C72</f>
        <v>485.36185135813236</v>
      </c>
      <c r="L75" s="8">
        <f t="shared" ref="L75:M75" si="36">L69*$C72</f>
        <v>330.25978956468151</v>
      </c>
      <c r="M75" s="8">
        <f t="shared" si="36"/>
        <v>168.56589014500895</v>
      </c>
    </row>
    <row r="76" spans="2:13">
      <c r="B76" s="73" t="s">
        <v>73</v>
      </c>
      <c r="C76" s="21"/>
      <c r="D76" s="21"/>
      <c r="E76" s="21"/>
      <c r="F76" s="21"/>
      <c r="G76" s="21"/>
      <c r="H76" s="21"/>
      <c r="I76" s="21"/>
      <c r="J76" s="21"/>
      <c r="K76" s="21"/>
      <c r="L76" s="21"/>
      <c r="M76" s="21"/>
    </row>
    <row r="77" spans="2:13">
      <c r="B77" s="94" t="s">
        <v>205</v>
      </c>
      <c r="D77" s="93"/>
      <c r="E77" s="92"/>
      <c r="F77" s="92"/>
      <c r="G77" s="92"/>
      <c r="H77" s="151">
        <f>'Assets+Depr'!D23+'Assets+Depr'!D24</f>
        <v>13300</v>
      </c>
      <c r="I77" s="92"/>
      <c r="J77" s="92"/>
      <c r="K77" s="92"/>
      <c r="L77" s="92"/>
      <c r="M77" s="92"/>
    </row>
    <row r="78" spans="2:13">
      <c r="B78" s="94" t="s">
        <v>206</v>
      </c>
      <c r="D78" s="93"/>
      <c r="E78" s="92"/>
      <c r="F78" s="92"/>
      <c r="G78" s="92"/>
      <c r="H78" s="95">
        <v>1500</v>
      </c>
      <c r="I78" s="92"/>
      <c r="J78" s="92"/>
      <c r="K78" s="92"/>
      <c r="L78" s="92"/>
      <c r="M78" s="92"/>
    </row>
    <row r="79" spans="2:13">
      <c r="B79" s="1" t="s">
        <v>136</v>
      </c>
      <c r="C79" s="85">
        <f>H77-H78</f>
        <v>11800</v>
      </c>
      <c r="H79" s="8">
        <f>C79</f>
        <v>11800</v>
      </c>
      <c r="I79" s="8">
        <f>H79-H84</f>
        <v>9758.2993080212</v>
      </c>
      <c r="J79" s="8">
        <f t="shared" ref="J79:L79" si="37">I79-I84</f>
        <v>7568.5753158739371</v>
      </c>
      <c r="K79" s="8">
        <f t="shared" si="37"/>
        <v>5220.0963342959985</v>
      </c>
      <c r="L79" s="8">
        <f t="shared" si="37"/>
        <v>2701.3526265536589</v>
      </c>
      <c r="M79" s="8"/>
    </row>
    <row r="80" spans="2:13">
      <c r="B80" s="1" t="s">
        <v>71</v>
      </c>
      <c r="C80" s="74">
        <v>5</v>
      </c>
      <c r="H80" s="8"/>
      <c r="I80" s="8"/>
      <c r="J80" s="8"/>
      <c r="K80" s="8"/>
      <c r="L80" s="8"/>
      <c r="M80" s="8"/>
    </row>
    <row r="81" spans="2:13">
      <c r="B81" s="1" t="s">
        <v>70</v>
      </c>
      <c r="C81" s="74"/>
      <c r="H81" s="74">
        <v>1</v>
      </c>
      <c r="I81" s="74">
        <v>2</v>
      </c>
      <c r="J81" s="74">
        <v>3</v>
      </c>
      <c r="K81" s="74">
        <v>4</v>
      </c>
      <c r="L81" s="74">
        <v>5</v>
      </c>
      <c r="M81" s="8"/>
    </row>
    <row r="82" spans="2:13">
      <c r="B82" s="1" t="s">
        <v>67</v>
      </c>
      <c r="C82" s="87">
        <v>7.2499999999999995E-2</v>
      </c>
      <c r="H82" s="8"/>
      <c r="I82" s="8"/>
      <c r="J82" s="8"/>
      <c r="K82" s="8"/>
      <c r="L82" s="8"/>
      <c r="M82" s="8"/>
    </row>
    <row r="83" spans="2:13">
      <c r="B83" s="1" t="s">
        <v>66</v>
      </c>
      <c r="C83" s="16">
        <f>-PMT(C82,C80,C79)</f>
        <v>2897.2006919787996</v>
      </c>
      <c r="H83" s="8">
        <f>H84+H85</f>
        <v>2897.2006919787996</v>
      </c>
      <c r="I83" s="8">
        <f>I84+I85</f>
        <v>2897.2006919788</v>
      </c>
      <c r="J83" s="8">
        <f t="shared" ref="J83" si="38">J84+J85</f>
        <v>2897.2006919787996</v>
      </c>
      <c r="K83" s="8">
        <f t="shared" ref="K83" si="39">K84+K85</f>
        <v>2897.2006919787996</v>
      </c>
      <c r="L83" s="8">
        <f t="shared" ref="L83" si="40">L84+L85</f>
        <v>2897.2006919787996</v>
      </c>
      <c r="M83" s="8"/>
    </row>
    <row r="84" spans="2:13">
      <c r="B84" s="1" t="s">
        <v>68</v>
      </c>
      <c r="C84" s="8"/>
      <c r="H84" s="8">
        <f>$C83-H85</f>
        <v>2041.7006919787996</v>
      </c>
      <c r="I84" s="8">
        <f>$C83-I85</f>
        <v>2189.7239921472628</v>
      </c>
      <c r="J84" s="8">
        <f>$C83-J85</f>
        <v>2348.4789815779391</v>
      </c>
      <c r="K84" s="8">
        <f>$C83-K85</f>
        <v>2518.7437077423397</v>
      </c>
      <c r="L84" s="8">
        <f t="shared" ref="L84" si="41">$C83-L85</f>
        <v>2701.3526265536593</v>
      </c>
      <c r="M84" s="8"/>
    </row>
    <row r="85" spans="2:13">
      <c r="B85" s="1" t="s">
        <v>69</v>
      </c>
      <c r="C85" s="8"/>
      <c r="H85" s="8">
        <f>H79*$C82</f>
        <v>855.49999999999989</v>
      </c>
      <c r="I85" s="8">
        <f>I79*$C82</f>
        <v>707.47669983153696</v>
      </c>
      <c r="J85" s="8">
        <f>J79*$C82</f>
        <v>548.72171040086039</v>
      </c>
      <c r="K85" s="8">
        <f>K79*$C82</f>
        <v>378.45698423645985</v>
      </c>
      <c r="L85" s="8">
        <f t="shared" ref="L85" si="42">L79*$C82</f>
        <v>195.84806542514025</v>
      </c>
      <c r="M85" s="8"/>
    </row>
    <row r="86" spans="2:13">
      <c r="B86" s="73" t="s">
        <v>209</v>
      </c>
      <c r="C86" s="21"/>
      <c r="D86" s="21"/>
      <c r="E86" s="21"/>
      <c r="F86" s="21"/>
      <c r="G86" s="21"/>
      <c r="H86" s="21"/>
      <c r="I86" s="21"/>
      <c r="J86" s="21"/>
      <c r="K86" s="21"/>
      <c r="L86" s="21"/>
      <c r="M86" s="21"/>
    </row>
    <row r="87" spans="2:13">
      <c r="B87" s="94" t="s">
        <v>205</v>
      </c>
      <c r="D87" s="93"/>
      <c r="E87" s="92"/>
      <c r="F87" s="92"/>
      <c r="G87" s="92"/>
      <c r="I87" s="151">
        <f>'Assets+Depr'!D17</f>
        <v>750</v>
      </c>
      <c r="J87" s="92"/>
      <c r="K87" s="92"/>
      <c r="L87" s="92"/>
      <c r="M87" s="92"/>
    </row>
    <row r="88" spans="2:13">
      <c r="B88" s="94" t="s">
        <v>206</v>
      </c>
      <c r="D88" s="93"/>
      <c r="E88" s="92"/>
      <c r="F88" s="92"/>
      <c r="G88" s="92"/>
      <c r="I88" s="95">
        <v>750</v>
      </c>
      <c r="J88" s="92"/>
      <c r="K88" s="92"/>
      <c r="L88" s="92"/>
      <c r="M88" s="92"/>
    </row>
    <row r="89" spans="2:13">
      <c r="B89" s="1" t="s">
        <v>136</v>
      </c>
      <c r="C89" s="85">
        <f>I87-I88</f>
        <v>0</v>
      </c>
      <c r="I89" s="8">
        <f>C89</f>
        <v>0</v>
      </c>
      <c r="J89" s="8">
        <f>I89-I94</f>
        <v>0</v>
      </c>
      <c r="K89" s="8">
        <f t="shared" ref="K89" si="43">J89-J94</f>
        <v>0</v>
      </c>
      <c r="L89" s="8"/>
      <c r="M89" s="8"/>
    </row>
    <row r="90" spans="2:13">
      <c r="B90" s="1" t="s">
        <v>71</v>
      </c>
      <c r="C90" s="74">
        <v>3</v>
      </c>
      <c r="I90" s="8"/>
      <c r="J90" s="8"/>
      <c r="K90" s="8"/>
      <c r="L90" s="8"/>
      <c r="M90" s="8"/>
    </row>
    <row r="91" spans="2:13">
      <c r="B91" s="1" t="s">
        <v>70</v>
      </c>
      <c r="C91" s="74"/>
      <c r="I91" s="74">
        <v>1</v>
      </c>
      <c r="J91" s="74">
        <v>2</v>
      </c>
      <c r="K91" s="74">
        <v>3</v>
      </c>
      <c r="L91" s="74"/>
      <c r="M91" s="74"/>
    </row>
    <row r="92" spans="2:13">
      <c r="B92" s="1" t="s">
        <v>67</v>
      </c>
      <c r="C92" s="87">
        <v>1.9E-2</v>
      </c>
      <c r="I92" s="8"/>
      <c r="J92" s="8"/>
      <c r="K92" s="8"/>
      <c r="L92" s="8"/>
      <c r="M92" s="8"/>
    </row>
    <row r="93" spans="2:13">
      <c r="B93" s="1" t="s">
        <v>66</v>
      </c>
      <c r="C93" s="16">
        <f>-PMT(C92,C90,C89)</f>
        <v>0</v>
      </c>
      <c r="I93" s="8">
        <f>I94+I95</f>
        <v>0</v>
      </c>
      <c r="J93" s="8">
        <f>J94+J95</f>
        <v>0</v>
      </c>
      <c r="K93" s="8">
        <f t="shared" ref="K93" si="44">K94+K95</f>
        <v>0</v>
      </c>
      <c r="L93" s="8"/>
      <c r="M93" s="8"/>
    </row>
    <row r="94" spans="2:13">
      <c r="B94" s="1" t="s">
        <v>68</v>
      </c>
      <c r="C94" s="8"/>
      <c r="I94" s="8">
        <f>$C93-I95</f>
        <v>0</v>
      </c>
      <c r="J94" s="8">
        <f>$C93-J95</f>
        <v>0</v>
      </c>
      <c r="K94" s="8">
        <f>$C93-K95</f>
        <v>0</v>
      </c>
      <c r="L94" s="8"/>
      <c r="M94" s="8"/>
    </row>
    <row r="95" spans="2:13">
      <c r="B95" s="1" t="s">
        <v>69</v>
      </c>
      <c r="C95" s="8"/>
      <c r="I95" s="8">
        <f>I89*$C92</f>
        <v>0</v>
      </c>
      <c r="J95" s="8">
        <f>J89*$C92</f>
        <v>0</v>
      </c>
      <c r="K95" s="8">
        <f>K89*$C92</f>
        <v>0</v>
      </c>
      <c r="L95" s="8"/>
      <c r="M95" s="8"/>
    </row>
    <row r="96" spans="2:13">
      <c r="B96" s="73" t="s">
        <v>75</v>
      </c>
      <c r="C96" s="21"/>
      <c r="D96" s="21"/>
      <c r="E96" s="21"/>
      <c r="F96" s="21"/>
      <c r="G96" s="21"/>
      <c r="H96" s="21"/>
      <c r="I96" s="21"/>
      <c r="J96" s="21"/>
      <c r="K96" s="21"/>
      <c r="L96" s="21"/>
      <c r="M96" s="21"/>
    </row>
    <row r="97" spans="2:13">
      <c r="B97" s="94" t="s">
        <v>205</v>
      </c>
      <c r="D97" s="93"/>
      <c r="E97" s="92"/>
      <c r="F97" s="92"/>
      <c r="G97" s="92"/>
      <c r="H97" s="92"/>
      <c r="I97" s="92"/>
      <c r="J97" s="92"/>
      <c r="K97" s="151">
        <f>'Assets+Depr'!D38+'Assets+Depr'!D32</f>
        <v>54000</v>
      </c>
      <c r="L97" s="92"/>
      <c r="M97" s="92"/>
    </row>
    <row r="98" spans="2:13">
      <c r="B98" s="94" t="s">
        <v>206</v>
      </c>
      <c r="D98" s="93"/>
      <c r="E98" s="92"/>
      <c r="F98" s="92"/>
      <c r="G98" s="92"/>
      <c r="H98" s="92"/>
      <c r="I98" s="92"/>
      <c r="J98" s="92"/>
      <c r="K98" s="95">
        <v>0</v>
      </c>
      <c r="L98" s="92"/>
      <c r="M98" s="92"/>
    </row>
    <row r="99" spans="2:13">
      <c r="B99" s="1" t="s">
        <v>136</v>
      </c>
      <c r="C99" s="85">
        <f>K97-K98</f>
        <v>54000</v>
      </c>
      <c r="I99" s="8"/>
      <c r="J99" s="8"/>
      <c r="K99" s="8">
        <f>C99</f>
        <v>54000</v>
      </c>
      <c r="L99" s="8">
        <f>K99-K104</f>
        <v>52040.940271709776</v>
      </c>
      <c r="M99" s="8">
        <f>L99-L104</f>
        <v>50018.211102250127</v>
      </c>
    </row>
    <row r="100" spans="2:13">
      <c r="B100" s="1" t="s">
        <v>71</v>
      </c>
      <c r="C100" s="74">
        <v>20</v>
      </c>
      <c r="I100" s="8"/>
      <c r="J100" s="8"/>
      <c r="K100" s="8"/>
      <c r="L100" s="8"/>
      <c r="M100" s="8"/>
    </row>
    <row r="101" spans="2:13">
      <c r="B101" s="1" t="s">
        <v>70</v>
      </c>
      <c r="C101" s="74"/>
      <c r="I101" s="8"/>
      <c r="J101" s="8"/>
      <c r="K101" s="74">
        <v>1</v>
      </c>
      <c r="L101" s="74">
        <v>2</v>
      </c>
      <c r="M101" s="74">
        <v>3</v>
      </c>
    </row>
    <row r="102" spans="2:13">
      <c r="B102" s="1" t="s">
        <v>67</v>
      </c>
      <c r="C102" s="87">
        <v>3.2500000000000001E-2</v>
      </c>
      <c r="I102" s="8"/>
      <c r="J102" s="8"/>
      <c r="K102" s="8"/>
      <c r="L102" s="8"/>
      <c r="M102" s="8"/>
    </row>
    <row r="103" spans="2:13">
      <c r="B103" s="1" t="s">
        <v>66</v>
      </c>
      <c r="C103" s="16">
        <f>-PMT(C102,C100,C99)</f>
        <v>3714.0597282902204</v>
      </c>
      <c r="I103" s="8"/>
      <c r="J103" s="8"/>
      <c r="K103" s="8">
        <f>K104+K105</f>
        <v>3714.0597282902204</v>
      </c>
      <c r="L103" s="8">
        <f>L104+L105</f>
        <v>3714.0597282902204</v>
      </c>
      <c r="M103" s="8">
        <f t="shared" ref="M103" si="45">M104+M105</f>
        <v>3714.0597282902204</v>
      </c>
    </row>
    <row r="104" spans="2:13">
      <c r="B104" s="1" t="s">
        <v>68</v>
      </c>
      <c r="C104" s="8"/>
      <c r="I104" s="8"/>
      <c r="J104" s="8"/>
      <c r="K104" s="8">
        <f>$C103-K105</f>
        <v>1959.0597282902204</v>
      </c>
      <c r="L104" s="8">
        <f>$C103-L105</f>
        <v>2022.7291694596527</v>
      </c>
      <c r="M104" s="8">
        <f>$C103-M105</f>
        <v>2088.4678674670913</v>
      </c>
    </row>
    <row r="105" spans="2:13">
      <c r="B105" s="1" t="s">
        <v>69</v>
      </c>
      <c r="C105" s="8"/>
      <c r="I105" s="8"/>
      <c r="J105" s="8"/>
      <c r="K105" s="8">
        <f>K99*$C102</f>
        <v>1755</v>
      </c>
      <c r="L105" s="8">
        <f>L99*$C102</f>
        <v>1691.3305588305677</v>
      </c>
      <c r="M105" s="8">
        <f>M99*$C102</f>
        <v>1625.5918608231291</v>
      </c>
    </row>
    <row r="106" spans="2:13">
      <c r="B106" s="73" t="s">
        <v>259</v>
      </c>
      <c r="C106" s="21"/>
      <c r="D106" s="21"/>
      <c r="E106" s="21"/>
      <c r="F106" s="21"/>
      <c r="G106" s="21"/>
      <c r="H106" s="21"/>
      <c r="I106" s="21"/>
      <c r="J106" s="21"/>
      <c r="K106" s="21"/>
      <c r="L106" s="21"/>
      <c r="M106" s="21"/>
    </row>
    <row r="107" spans="2:13">
      <c r="B107" s="94" t="s">
        <v>205</v>
      </c>
      <c r="D107" s="93"/>
      <c r="E107" s="92"/>
      <c r="F107" s="92"/>
      <c r="G107" s="92"/>
      <c r="H107" s="92"/>
      <c r="I107" s="92"/>
      <c r="J107" s="92"/>
      <c r="L107" s="151">
        <f>'Assets+Depr'!D15</f>
        <v>8750</v>
      </c>
      <c r="M107" s="92"/>
    </row>
    <row r="108" spans="2:13">
      <c r="B108" s="94" t="s">
        <v>206</v>
      </c>
      <c r="D108" s="93"/>
      <c r="E108" s="92"/>
      <c r="F108" s="92"/>
      <c r="G108" s="92"/>
      <c r="H108" s="92"/>
      <c r="I108" s="92"/>
      <c r="J108" s="92"/>
      <c r="L108" s="95">
        <v>4000</v>
      </c>
      <c r="M108" s="92"/>
    </row>
    <row r="109" spans="2:13">
      <c r="B109" s="1" t="s">
        <v>136</v>
      </c>
      <c r="C109" s="85">
        <f>L107-L108</f>
        <v>4750</v>
      </c>
      <c r="I109" s="8"/>
      <c r="J109" s="8"/>
      <c r="L109" s="8">
        <f>C109</f>
        <v>4750</v>
      </c>
      <c r="M109" s="8">
        <f>L109-L114</f>
        <v>3217.0279908586458</v>
      </c>
    </row>
    <row r="110" spans="2:13">
      <c r="B110" s="1" t="s">
        <v>71</v>
      </c>
      <c r="C110" s="74">
        <v>3</v>
      </c>
      <c r="I110" s="8"/>
      <c r="J110" s="8"/>
      <c r="L110" s="8"/>
      <c r="M110" s="8"/>
    </row>
    <row r="111" spans="2:13">
      <c r="B111" s="1" t="s">
        <v>70</v>
      </c>
      <c r="C111" s="74"/>
      <c r="I111" s="8"/>
      <c r="J111" s="8"/>
      <c r="L111" s="74">
        <v>1</v>
      </c>
      <c r="M111" s="74">
        <v>2</v>
      </c>
    </row>
    <row r="112" spans="2:13">
      <c r="B112" s="1" t="s">
        <v>67</v>
      </c>
      <c r="C112" s="87">
        <v>3.2500000000000001E-2</v>
      </c>
      <c r="I112" s="8"/>
      <c r="J112" s="8"/>
      <c r="L112" s="8"/>
      <c r="M112" s="8"/>
    </row>
    <row r="113" spans="2:13">
      <c r="B113" s="1" t="s">
        <v>66</v>
      </c>
      <c r="C113" s="16">
        <f>-PMT(C112,C110,C109)</f>
        <v>1687.3470091413542</v>
      </c>
      <c r="I113" s="8"/>
      <c r="J113" s="8"/>
      <c r="L113" s="8">
        <f>L114+L115</f>
        <v>1687.3470091413542</v>
      </c>
      <c r="M113" s="8">
        <f>M114+M115</f>
        <v>1687.3470091413542</v>
      </c>
    </row>
    <row r="114" spans="2:13">
      <c r="B114" s="1" t="s">
        <v>68</v>
      </c>
      <c r="C114" s="8"/>
      <c r="I114" s="8"/>
      <c r="J114" s="8"/>
      <c r="L114" s="8">
        <f>$C113-L115</f>
        <v>1532.9720091413542</v>
      </c>
      <c r="M114" s="8">
        <f>$C113-M115</f>
        <v>1582.7935994384482</v>
      </c>
    </row>
    <row r="115" spans="2:13">
      <c r="B115" s="1" t="s">
        <v>69</v>
      </c>
      <c r="C115" s="8"/>
      <c r="I115" s="8"/>
      <c r="J115" s="8"/>
      <c r="L115" s="8">
        <f>L109*$C112</f>
        <v>154.375</v>
      </c>
      <c r="M115" s="8">
        <f>M109*$C112</f>
        <v>104.553409702906</v>
      </c>
    </row>
    <row r="116" spans="2:13">
      <c r="B116" s="73" t="s">
        <v>209</v>
      </c>
      <c r="C116" s="21"/>
      <c r="D116" s="21"/>
      <c r="E116" s="21"/>
      <c r="F116" s="21"/>
      <c r="G116" s="21"/>
      <c r="H116" s="21"/>
      <c r="I116" s="21"/>
      <c r="J116" s="21"/>
      <c r="K116" s="21"/>
      <c r="L116" s="21"/>
      <c r="M116" s="21"/>
    </row>
    <row r="117" spans="2:13">
      <c r="B117" s="94" t="s">
        <v>205</v>
      </c>
      <c r="D117" s="93"/>
      <c r="E117" s="92"/>
      <c r="F117" s="92"/>
      <c r="G117" s="92"/>
      <c r="H117" s="92"/>
      <c r="I117" s="92"/>
      <c r="J117" s="92"/>
      <c r="L117" s="151">
        <f>'Assets+Depr'!D18</f>
        <v>575</v>
      </c>
      <c r="M117" s="92"/>
    </row>
    <row r="118" spans="2:13">
      <c r="B118" s="94" t="s">
        <v>206</v>
      </c>
      <c r="D118" s="93"/>
      <c r="E118" s="92"/>
      <c r="F118" s="92"/>
      <c r="G118" s="92"/>
      <c r="H118" s="92"/>
      <c r="I118" s="92"/>
      <c r="J118" s="92"/>
      <c r="L118" s="95">
        <v>575</v>
      </c>
      <c r="M118" s="92"/>
    </row>
    <row r="119" spans="2:13">
      <c r="B119" s="1" t="s">
        <v>136</v>
      </c>
      <c r="C119" s="85">
        <f>K117-K118</f>
        <v>0</v>
      </c>
      <c r="I119" s="8"/>
      <c r="J119" s="8"/>
      <c r="L119" s="8">
        <f>C119</f>
        <v>0</v>
      </c>
      <c r="M119" s="8">
        <f>L119-L124</f>
        <v>0</v>
      </c>
    </row>
    <row r="120" spans="2:13">
      <c r="B120" s="1" t="s">
        <v>71</v>
      </c>
      <c r="C120" s="74">
        <v>3</v>
      </c>
      <c r="I120" s="8"/>
      <c r="J120" s="8"/>
      <c r="L120" s="8"/>
      <c r="M120" s="8"/>
    </row>
    <row r="121" spans="2:13">
      <c r="B121" s="1" t="s">
        <v>70</v>
      </c>
      <c r="C121" s="74"/>
      <c r="I121" s="8"/>
      <c r="J121" s="8"/>
      <c r="L121" s="74">
        <v>1</v>
      </c>
      <c r="M121" s="74">
        <v>2</v>
      </c>
    </row>
    <row r="122" spans="2:13">
      <c r="B122" s="1" t="s">
        <v>67</v>
      </c>
      <c r="C122" s="87">
        <v>3.2500000000000001E-2</v>
      </c>
      <c r="I122" s="8"/>
      <c r="J122" s="8"/>
      <c r="L122" s="8"/>
      <c r="M122" s="8"/>
    </row>
    <row r="123" spans="2:13">
      <c r="B123" s="1" t="s">
        <v>66</v>
      </c>
      <c r="C123" s="16">
        <f>-PMT(C122,C120,C119)</f>
        <v>0</v>
      </c>
      <c r="I123" s="8"/>
      <c r="J123" s="8"/>
      <c r="L123" s="8">
        <f>L124+L125</f>
        <v>0</v>
      </c>
      <c r="M123" s="8">
        <f>M124+M125</f>
        <v>0</v>
      </c>
    </row>
    <row r="124" spans="2:13">
      <c r="B124" s="1" t="s">
        <v>68</v>
      </c>
      <c r="C124" s="8"/>
      <c r="I124" s="8"/>
      <c r="J124" s="8"/>
      <c r="L124" s="8">
        <f>$C123-L125</f>
        <v>0</v>
      </c>
      <c r="M124" s="8">
        <f>$C123-M125</f>
        <v>0</v>
      </c>
    </row>
    <row r="125" spans="2:13">
      <c r="B125" s="1" t="s">
        <v>69</v>
      </c>
      <c r="C125" s="8"/>
      <c r="I125" s="8"/>
      <c r="J125" s="8"/>
      <c r="L125" s="8">
        <f>L119*$C122</f>
        <v>0</v>
      </c>
      <c r="M125" s="8">
        <f>M119*$C122</f>
        <v>0</v>
      </c>
    </row>
    <row r="126" spans="2:13">
      <c r="B126" s="73" t="s">
        <v>209</v>
      </c>
      <c r="C126" s="21"/>
      <c r="D126" s="21"/>
      <c r="E126" s="21"/>
      <c r="F126" s="21"/>
      <c r="G126" s="21"/>
      <c r="H126" s="21"/>
      <c r="I126" s="21"/>
      <c r="J126" s="21"/>
      <c r="K126" s="21"/>
      <c r="L126" s="21"/>
      <c r="M126" s="21"/>
    </row>
    <row r="127" spans="2:13">
      <c r="B127" s="94" t="s">
        <v>205</v>
      </c>
      <c r="D127" s="93"/>
      <c r="E127" s="92"/>
      <c r="F127" s="92"/>
      <c r="G127" s="92"/>
      <c r="H127" s="92"/>
      <c r="I127" s="92"/>
      <c r="J127" s="92"/>
      <c r="L127" s="151">
        <f>'Assets+Depr'!D19</f>
        <v>1200</v>
      </c>
      <c r="M127" s="92"/>
    </row>
    <row r="128" spans="2:13">
      <c r="B128" s="94" t="s">
        <v>206</v>
      </c>
      <c r="D128" s="93"/>
      <c r="E128" s="92"/>
      <c r="F128" s="92"/>
      <c r="G128" s="92"/>
      <c r="H128" s="92"/>
      <c r="I128" s="92"/>
      <c r="J128" s="92"/>
      <c r="L128" s="95">
        <v>1200</v>
      </c>
      <c r="M128" s="92"/>
    </row>
    <row r="129" spans="2:13">
      <c r="B129" s="1" t="s">
        <v>136</v>
      </c>
      <c r="C129" s="85">
        <f>K127-K128</f>
        <v>0</v>
      </c>
      <c r="I129" s="8"/>
      <c r="J129" s="8"/>
      <c r="L129" s="8">
        <f>C129</f>
        <v>0</v>
      </c>
      <c r="M129" s="8">
        <f>L129-L134</f>
        <v>0</v>
      </c>
    </row>
    <row r="130" spans="2:13">
      <c r="B130" s="1" t="s">
        <v>71</v>
      </c>
      <c r="C130" s="74">
        <v>3</v>
      </c>
      <c r="I130" s="8"/>
      <c r="J130" s="8"/>
      <c r="L130" s="8"/>
      <c r="M130" s="8"/>
    </row>
    <row r="131" spans="2:13">
      <c r="B131" s="1" t="s">
        <v>70</v>
      </c>
      <c r="C131" s="74"/>
      <c r="I131" s="8"/>
      <c r="J131" s="8"/>
      <c r="L131" s="74">
        <v>1</v>
      </c>
      <c r="M131" s="74">
        <v>2</v>
      </c>
    </row>
    <row r="132" spans="2:13">
      <c r="B132" s="1" t="s">
        <v>67</v>
      </c>
      <c r="C132" s="87">
        <v>3.2500000000000001E-2</v>
      </c>
      <c r="I132" s="8"/>
      <c r="J132" s="8"/>
      <c r="L132" s="8"/>
      <c r="M132" s="8"/>
    </row>
    <row r="133" spans="2:13">
      <c r="B133" s="1" t="s">
        <v>66</v>
      </c>
      <c r="C133" s="16">
        <f>-PMT(C132,C130,C129)</f>
        <v>0</v>
      </c>
      <c r="I133" s="8"/>
      <c r="J133" s="8"/>
      <c r="L133" s="8">
        <f>L134+L135</f>
        <v>0</v>
      </c>
      <c r="M133" s="8">
        <f>M134+M135</f>
        <v>0</v>
      </c>
    </row>
    <row r="134" spans="2:13">
      <c r="B134" s="1" t="s">
        <v>68</v>
      </c>
      <c r="C134" s="8"/>
      <c r="I134" s="8"/>
      <c r="J134" s="8"/>
      <c r="L134" s="8">
        <f>$C133-L135</f>
        <v>0</v>
      </c>
      <c r="M134" s="8">
        <f>$C133-M135</f>
        <v>0</v>
      </c>
    </row>
    <row r="135" spans="2:13">
      <c r="B135" s="1" t="s">
        <v>69</v>
      </c>
      <c r="C135" s="8"/>
      <c r="I135" s="8"/>
      <c r="J135" s="8"/>
      <c r="L135" s="8">
        <f>L129*$C132</f>
        <v>0</v>
      </c>
      <c r="M135" s="8">
        <f>M129*$C132</f>
        <v>0</v>
      </c>
    </row>
    <row r="136" spans="2:13">
      <c r="B136" s="73" t="s">
        <v>210</v>
      </c>
      <c r="C136" s="21"/>
      <c r="D136" s="21"/>
      <c r="E136" s="21"/>
      <c r="F136" s="21"/>
      <c r="G136" s="21"/>
      <c r="H136" s="21"/>
      <c r="I136" s="21"/>
      <c r="J136" s="21"/>
      <c r="K136" s="21"/>
      <c r="L136" s="21"/>
      <c r="M136" s="21"/>
    </row>
    <row r="137" spans="2:13">
      <c r="B137" s="94" t="s">
        <v>205</v>
      </c>
      <c r="D137" s="93"/>
      <c r="E137" s="92"/>
      <c r="F137" s="92"/>
      <c r="G137" s="92"/>
      <c r="H137" s="92"/>
      <c r="I137" s="92"/>
      <c r="J137" s="92"/>
      <c r="L137" s="151">
        <f>'Assets+Depr'!D25</f>
        <v>1200</v>
      </c>
      <c r="M137" s="92"/>
    </row>
    <row r="138" spans="2:13">
      <c r="B138" s="94" t="s">
        <v>206</v>
      </c>
      <c r="D138" s="93"/>
      <c r="E138" s="92"/>
      <c r="F138" s="92"/>
      <c r="G138" s="92"/>
      <c r="H138" s="92"/>
      <c r="I138" s="92"/>
      <c r="J138" s="92"/>
      <c r="L138" s="95">
        <v>1200</v>
      </c>
      <c r="M138" s="92"/>
    </row>
    <row r="139" spans="2:13">
      <c r="B139" s="1" t="s">
        <v>136</v>
      </c>
      <c r="C139" s="85">
        <f>K137-K138</f>
        <v>0</v>
      </c>
      <c r="I139" s="8"/>
      <c r="J139" s="8"/>
      <c r="L139" s="8">
        <f>C139</f>
        <v>0</v>
      </c>
      <c r="M139" s="8">
        <f>L139-L144</f>
        <v>0</v>
      </c>
    </row>
    <row r="140" spans="2:13">
      <c r="B140" s="1" t="s">
        <v>71</v>
      </c>
      <c r="C140" s="74">
        <v>3</v>
      </c>
      <c r="I140" s="8"/>
      <c r="J140" s="8"/>
      <c r="L140" s="8"/>
      <c r="M140" s="8"/>
    </row>
    <row r="141" spans="2:13">
      <c r="B141" s="1" t="s">
        <v>70</v>
      </c>
      <c r="C141" s="74"/>
      <c r="I141" s="8"/>
      <c r="J141" s="8"/>
      <c r="L141" s="74">
        <v>1</v>
      </c>
      <c r="M141" s="74">
        <v>2</v>
      </c>
    </row>
    <row r="142" spans="2:13">
      <c r="B142" s="1" t="s">
        <v>67</v>
      </c>
      <c r="C142" s="87">
        <v>3.2500000000000001E-2</v>
      </c>
      <c r="I142" s="8"/>
      <c r="J142" s="8"/>
      <c r="L142" s="8"/>
      <c r="M142" s="8"/>
    </row>
    <row r="143" spans="2:13">
      <c r="B143" s="1" t="s">
        <v>66</v>
      </c>
      <c r="C143" s="16">
        <f>-PMT(C142,C140,C139)</f>
        <v>0</v>
      </c>
      <c r="I143" s="8"/>
      <c r="J143" s="8"/>
      <c r="L143" s="8">
        <f>L144+L145</f>
        <v>0</v>
      </c>
      <c r="M143" s="8">
        <f>M144+M145</f>
        <v>0</v>
      </c>
    </row>
    <row r="144" spans="2:13">
      <c r="B144" s="1" t="s">
        <v>68</v>
      </c>
      <c r="C144" s="8"/>
      <c r="I144" s="8"/>
      <c r="J144" s="8"/>
      <c r="L144" s="8">
        <f>$C143-L145</f>
        <v>0</v>
      </c>
      <c r="M144" s="8">
        <f>$C143-M145</f>
        <v>0</v>
      </c>
    </row>
    <row r="145" spans="2:13">
      <c r="B145" s="1" t="s">
        <v>69</v>
      </c>
      <c r="C145" s="8"/>
      <c r="I145" s="8"/>
      <c r="J145" s="8"/>
      <c r="L145" s="8">
        <f>L139*$C142</f>
        <v>0</v>
      </c>
      <c r="M145" s="8">
        <f>M139*$C142</f>
        <v>0</v>
      </c>
    </row>
    <row r="146" spans="2:13">
      <c r="B146" s="56" t="s">
        <v>211</v>
      </c>
      <c r="C146" s="56"/>
      <c r="D146" s="56"/>
      <c r="E146" s="56"/>
      <c r="F146" s="56"/>
      <c r="G146" s="56"/>
      <c r="H146" s="56"/>
      <c r="I146" s="56"/>
      <c r="J146" s="56"/>
      <c r="K146" s="56"/>
      <c r="L146" s="56"/>
      <c r="M146" s="56"/>
    </row>
    <row r="147" spans="2:13">
      <c r="B147" s="56" t="s">
        <v>212</v>
      </c>
      <c r="C147" s="56"/>
      <c r="D147" s="57">
        <f>D7+D17+D27+D37+D47+D57+D67+D77+D87+D97+D107+D117+D127+D137</f>
        <v>5720</v>
      </c>
      <c r="E147" s="57">
        <f t="shared" ref="E147:M147" si="46">E7+E17+E27+E37+E47+E57+E67+E77+E87+E97+E107+E117+E127+E137</f>
        <v>0</v>
      </c>
      <c r="F147" s="57">
        <f t="shared" si="46"/>
        <v>41500</v>
      </c>
      <c r="G147" s="57">
        <f t="shared" si="46"/>
        <v>0</v>
      </c>
      <c r="H147" s="57">
        <f t="shared" si="46"/>
        <v>38300</v>
      </c>
      <c r="I147" s="57">
        <f t="shared" si="46"/>
        <v>750</v>
      </c>
      <c r="J147" s="57">
        <f t="shared" si="46"/>
        <v>0</v>
      </c>
      <c r="K147" s="57">
        <f t="shared" si="46"/>
        <v>54000</v>
      </c>
      <c r="L147" s="57">
        <f t="shared" si="46"/>
        <v>11725</v>
      </c>
      <c r="M147" s="57">
        <f t="shared" si="46"/>
        <v>0</v>
      </c>
    </row>
    <row r="148" spans="2:13">
      <c r="B148" s="56" t="s">
        <v>213</v>
      </c>
      <c r="C148" s="56"/>
      <c r="D148" s="57">
        <f>D8+D18+D28+D38+D48+D58+D68+D78+D88+D98+D108+D118+D128+D138</f>
        <v>600</v>
      </c>
      <c r="E148" s="57">
        <f t="shared" ref="E148:M148" si="47">E8+E18+E28+E38+E48+E58+E68+E78+E88+E98+E108+E118+E128+E138</f>
        <v>0</v>
      </c>
      <c r="F148" s="57">
        <f t="shared" si="47"/>
        <v>6900</v>
      </c>
      <c r="G148" s="57">
        <f t="shared" si="47"/>
        <v>0</v>
      </c>
      <c r="H148" s="57">
        <f t="shared" si="47"/>
        <v>5000</v>
      </c>
      <c r="I148" s="57">
        <f t="shared" si="47"/>
        <v>750</v>
      </c>
      <c r="J148" s="57">
        <f t="shared" si="47"/>
        <v>0</v>
      </c>
      <c r="K148" s="57">
        <f t="shared" si="47"/>
        <v>0</v>
      </c>
      <c r="L148" s="57">
        <f t="shared" si="47"/>
        <v>6975</v>
      </c>
      <c r="M148" s="57">
        <f t="shared" si="47"/>
        <v>0</v>
      </c>
    </row>
    <row r="149" spans="2:13">
      <c r="B149" s="56" t="s">
        <v>214</v>
      </c>
      <c r="C149" s="56"/>
      <c r="D149" s="57">
        <f>D13+D23+D33+D43+D53+D63+D73+D83+D93+D103+D113+D123+D133+D143</f>
        <v>1399.9774639415602</v>
      </c>
      <c r="E149" s="57">
        <f t="shared" ref="E149:M149" si="48">E13+E23+E33+E43+E53+E63+E73+E83+E93+E103+E113+E123+E133+E143</f>
        <v>1399.9774639415602</v>
      </c>
      <c r="F149" s="57">
        <f t="shared" si="48"/>
        <v>5076.0743278064128</v>
      </c>
      <c r="G149" s="57">
        <f t="shared" si="48"/>
        <v>5076.0743278064128</v>
      </c>
      <c r="H149" s="57">
        <f t="shared" si="48"/>
        <v>10708.119684694746</v>
      </c>
      <c r="I149" s="57">
        <f t="shared" si="48"/>
        <v>10708.119684694746</v>
      </c>
      <c r="J149" s="57">
        <f t="shared" si="48"/>
        <v>10708.119684694746</v>
      </c>
      <c r="K149" s="57">
        <f t="shared" si="48"/>
        <v>13498.280220471894</v>
      </c>
      <c r="L149" s="57">
        <f t="shared" si="48"/>
        <v>15185.627229613248</v>
      </c>
      <c r="M149" s="57">
        <f t="shared" si="48"/>
        <v>12288.426537634448</v>
      </c>
    </row>
    <row r="150" spans="2:13">
      <c r="B150" s="56" t="s">
        <v>215</v>
      </c>
      <c r="C150" s="56"/>
      <c r="D150" s="57">
        <f>D14+D24+D34+D44+D54+D64+D74+D84+D94+D104+D114+D124+D134+D144</f>
        <v>1211.4774639415602</v>
      </c>
      <c r="E150" s="57">
        <f t="shared" ref="E150:M150" si="49">E14+E24+E34+E44+E54+E64+E74+E84+E94+E104+E114+E124+E134+E144</f>
        <v>1256.0368852227271</v>
      </c>
      <c r="F150" s="57">
        <f t="shared" si="49"/>
        <v>3554.3606356157475</v>
      </c>
      <c r="G150" s="57">
        <f t="shared" si="49"/>
        <v>3699.641609429395</v>
      </c>
      <c r="H150" s="57">
        <f t="shared" si="49"/>
        <v>7713.7702819096412</v>
      </c>
      <c r="I150" s="57">
        <f t="shared" si="49"/>
        <v>8104.710034594922</v>
      </c>
      <c r="J150" s="57">
        <f t="shared" si="49"/>
        <v>8516.8394229866517</v>
      </c>
      <c r="K150" s="57">
        <f t="shared" si="49"/>
        <v>9986.5498458165857</v>
      </c>
      <c r="L150" s="57">
        <f t="shared" si="49"/>
        <v>11995.273722023787</v>
      </c>
      <c r="M150" s="57">
        <f t="shared" si="49"/>
        <v>9648.5215862976402</v>
      </c>
    </row>
    <row r="151" spans="2:13">
      <c r="B151" s="56" t="s">
        <v>216</v>
      </c>
      <c r="C151" s="56"/>
      <c r="D151" s="57">
        <f>D15+D25+D35+D45+D55+D65+D75+D85+D95+D105+D115+D125+D135+D145</f>
        <v>188.50000000000003</v>
      </c>
      <c r="E151" s="57">
        <f t="shared" ref="E151:M151" si="50">E15+E25+E35+E45+E55+E65+E75+E85+E95+E105+E115+E125+E135+E145</f>
        <v>143.94057871883319</v>
      </c>
      <c r="F151" s="57">
        <f t="shared" si="50"/>
        <v>1521.7136921906649</v>
      </c>
      <c r="G151" s="57">
        <f t="shared" si="50"/>
        <v>1376.4327183770174</v>
      </c>
      <c r="H151" s="57">
        <f t="shared" si="50"/>
        <v>2994.3494027851048</v>
      </c>
      <c r="I151" s="57">
        <f t="shared" si="50"/>
        <v>2603.4096500998239</v>
      </c>
      <c r="J151" s="57">
        <f t="shared" si="50"/>
        <v>2191.2802617080938</v>
      </c>
      <c r="K151" s="57">
        <f t="shared" si="50"/>
        <v>3511.730374655308</v>
      </c>
      <c r="L151" s="57">
        <f t="shared" si="50"/>
        <v>3190.3535075894624</v>
      </c>
      <c r="M151" s="57">
        <f t="shared" si="50"/>
        <v>2639.9049513368086</v>
      </c>
    </row>
    <row r="153" spans="2:13">
      <c r="E153" s="132"/>
    </row>
  </sheetData>
  <mergeCells count="2">
    <mergeCell ref="B1:M1"/>
    <mergeCell ref="B2:M2"/>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dimension ref="B1:Z75"/>
  <sheetViews>
    <sheetView topLeftCell="B4" zoomScaleNormal="100" workbookViewId="0">
      <selection activeCell="L8" sqref="L8"/>
    </sheetView>
  </sheetViews>
  <sheetFormatPr defaultRowHeight="15"/>
  <cols>
    <col min="1" max="1" width="4.7109375" customWidth="1"/>
    <col min="2" max="2" width="36.7109375" customWidth="1"/>
    <col min="3" max="12" width="12.7109375" customWidth="1"/>
    <col min="14" max="15" width="25.7109375" customWidth="1"/>
    <col min="16" max="16" width="30.7109375" customWidth="1"/>
    <col min="17" max="26" width="12.7109375" customWidth="1"/>
  </cols>
  <sheetData>
    <row r="1" spans="2:15">
      <c r="B1" s="160" t="s">
        <v>150</v>
      </c>
      <c r="C1" s="160"/>
      <c r="D1" s="160"/>
      <c r="E1" s="160"/>
      <c r="F1" s="160"/>
      <c r="G1" s="160"/>
      <c r="H1" s="160"/>
      <c r="I1" s="160"/>
      <c r="J1" s="160"/>
      <c r="K1" s="160"/>
      <c r="L1" s="160"/>
    </row>
    <row r="2" spans="2:15">
      <c r="B2" s="156" t="s">
        <v>151</v>
      </c>
      <c r="C2" s="156"/>
      <c r="D2" s="156"/>
      <c r="E2" s="156"/>
      <c r="F2" s="156"/>
      <c r="G2" s="156"/>
      <c r="H2" s="156"/>
      <c r="I2" s="156"/>
      <c r="J2" s="156"/>
      <c r="K2" s="156"/>
      <c r="L2" s="156"/>
    </row>
    <row r="4" spans="2:15" ht="15.75" thickBot="1">
      <c r="C4" s="7" t="s">
        <v>23</v>
      </c>
      <c r="D4" s="7" t="s">
        <v>24</v>
      </c>
      <c r="E4" s="7" t="s">
        <v>25</v>
      </c>
      <c r="F4" s="7" t="s">
        <v>26</v>
      </c>
      <c r="G4" s="7" t="s">
        <v>27</v>
      </c>
      <c r="H4" s="7" t="s">
        <v>28</v>
      </c>
      <c r="I4" s="7" t="s">
        <v>29</v>
      </c>
      <c r="J4" s="7" t="s">
        <v>30</v>
      </c>
      <c r="K4" s="7" t="s">
        <v>31</v>
      </c>
      <c r="L4" s="7" t="s">
        <v>32</v>
      </c>
      <c r="N4" s="150"/>
    </row>
    <row r="5" spans="2:15">
      <c r="B5" t="s">
        <v>94</v>
      </c>
      <c r="N5" s="136"/>
      <c r="O5" s="136"/>
    </row>
    <row r="6" spans="2:15">
      <c r="B6" s="31" t="s">
        <v>98</v>
      </c>
      <c r="C6" s="53">
        <v>22000</v>
      </c>
      <c r="D6" s="53">
        <v>23000</v>
      </c>
      <c r="E6" s="53">
        <v>22500</v>
      </c>
      <c r="F6" s="53">
        <v>35000</v>
      </c>
      <c r="G6" s="53">
        <v>38000</v>
      </c>
      <c r="H6" s="53">
        <v>12000</v>
      </c>
      <c r="I6" s="53">
        <v>37000</v>
      </c>
      <c r="J6" s="53">
        <v>39000</v>
      </c>
      <c r="K6" s="53">
        <v>40000</v>
      </c>
      <c r="L6" s="53">
        <v>42500</v>
      </c>
      <c r="N6" s="136"/>
      <c r="O6" s="148"/>
    </row>
    <row r="7" spans="2:15">
      <c r="B7" s="32" t="s">
        <v>99</v>
      </c>
      <c r="C7" s="35">
        <f>C75</f>
        <v>720</v>
      </c>
      <c r="D7" s="35">
        <f t="shared" ref="D7:L7" si="0">D75</f>
        <v>472.5</v>
      </c>
      <c r="E7" s="35">
        <f t="shared" si="0"/>
        <v>2691</v>
      </c>
      <c r="F7" s="35">
        <f t="shared" si="0"/>
        <v>2480.5</v>
      </c>
      <c r="G7" s="35">
        <f t="shared" si="0"/>
        <v>2950</v>
      </c>
      <c r="H7" s="35">
        <f t="shared" si="0"/>
        <v>2687.5</v>
      </c>
      <c r="I7" s="35">
        <f t="shared" si="0"/>
        <v>2106</v>
      </c>
      <c r="J7" s="35">
        <f t="shared" si="0"/>
        <v>1076.25</v>
      </c>
      <c r="K7" s="35">
        <f t="shared" si="0"/>
        <v>12100</v>
      </c>
      <c r="L7" s="35">
        <f t="shared" si="0"/>
        <v>14322</v>
      </c>
      <c r="N7" s="136"/>
      <c r="O7" s="136"/>
    </row>
    <row r="8" spans="2:15">
      <c r="B8" s="36" t="s">
        <v>34</v>
      </c>
      <c r="C8" s="37">
        <f>SUM(C6:C7)</f>
        <v>22720</v>
      </c>
      <c r="D8" s="37">
        <f t="shared" ref="D8:L8" si="1">SUM(D6:D7)</f>
        <v>23472.5</v>
      </c>
      <c r="E8" s="37">
        <f t="shared" si="1"/>
        <v>25191</v>
      </c>
      <c r="F8" s="37">
        <f t="shared" si="1"/>
        <v>37480.5</v>
      </c>
      <c r="G8" s="37">
        <f t="shared" si="1"/>
        <v>40950</v>
      </c>
      <c r="H8" s="37">
        <f t="shared" si="1"/>
        <v>14687.5</v>
      </c>
      <c r="I8" s="37">
        <f t="shared" si="1"/>
        <v>39106</v>
      </c>
      <c r="J8" s="37">
        <f t="shared" si="1"/>
        <v>40076.25</v>
      </c>
      <c r="K8" s="37">
        <f t="shared" si="1"/>
        <v>52100</v>
      </c>
      <c r="L8" s="37">
        <f t="shared" si="1"/>
        <v>56822</v>
      </c>
    </row>
    <row r="9" spans="2:15">
      <c r="B9" s="33" t="s">
        <v>95</v>
      </c>
      <c r="C9" s="34"/>
      <c r="D9" s="34"/>
      <c r="E9" s="34"/>
      <c r="F9" s="34"/>
      <c r="G9" s="34"/>
      <c r="H9" s="34"/>
      <c r="I9" s="34"/>
      <c r="J9" s="34"/>
      <c r="K9" s="34"/>
      <c r="L9" s="34"/>
    </row>
    <row r="10" spans="2:15">
      <c r="B10" s="31" t="s">
        <v>100</v>
      </c>
      <c r="C10" s="53">
        <v>3294</v>
      </c>
      <c r="D10" s="53">
        <v>3305</v>
      </c>
      <c r="E10" s="53">
        <v>4100</v>
      </c>
      <c r="F10" s="53">
        <v>7000</v>
      </c>
      <c r="G10" s="53">
        <v>7200</v>
      </c>
      <c r="H10" s="53">
        <v>7150</v>
      </c>
      <c r="I10" s="53">
        <v>6975</v>
      </c>
      <c r="J10" s="53">
        <v>7200</v>
      </c>
      <c r="K10" s="53">
        <v>7350</v>
      </c>
      <c r="L10" s="53">
        <v>7800</v>
      </c>
    </row>
    <row r="11" spans="2:15">
      <c r="B11" s="31" t="s">
        <v>101</v>
      </c>
      <c r="C11" s="53">
        <v>558</v>
      </c>
      <c r="D11" s="53">
        <v>600</v>
      </c>
      <c r="E11" s="53">
        <v>1200</v>
      </c>
      <c r="F11" s="53">
        <v>975</v>
      </c>
      <c r="G11" s="53">
        <v>1000</v>
      </c>
      <c r="H11" s="53">
        <v>1075</v>
      </c>
      <c r="I11" s="53">
        <v>750</v>
      </c>
      <c r="J11" s="53">
        <v>985</v>
      </c>
      <c r="K11" s="53">
        <v>1500</v>
      </c>
      <c r="L11" s="53">
        <v>1275</v>
      </c>
    </row>
    <row r="12" spans="2:15">
      <c r="B12" s="31" t="s">
        <v>102</v>
      </c>
      <c r="C12" s="53">
        <v>1086</v>
      </c>
      <c r="D12" s="53">
        <v>525</v>
      </c>
      <c r="E12" s="53">
        <v>800</v>
      </c>
      <c r="F12" s="53">
        <v>1260</v>
      </c>
      <c r="G12" s="53">
        <v>1150</v>
      </c>
      <c r="H12" s="53">
        <v>945</v>
      </c>
      <c r="I12" s="53">
        <v>995</v>
      </c>
      <c r="J12" s="53">
        <v>1140</v>
      </c>
      <c r="K12" s="53">
        <v>1500</v>
      </c>
      <c r="L12" s="53">
        <v>1325</v>
      </c>
    </row>
    <row r="13" spans="2:15">
      <c r="B13" s="31" t="s">
        <v>103</v>
      </c>
      <c r="C13" s="53">
        <v>1340</v>
      </c>
      <c r="D13" s="53">
        <v>1524</v>
      </c>
      <c r="E13" s="53">
        <v>1800</v>
      </c>
      <c r="F13" s="53">
        <v>1950</v>
      </c>
      <c r="G13" s="53">
        <v>1675</v>
      </c>
      <c r="H13" s="53">
        <v>985</v>
      </c>
      <c r="I13" s="53">
        <v>1450</v>
      </c>
      <c r="J13" s="53">
        <v>1340</v>
      </c>
      <c r="K13" s="53">
        <v>1520</v>
      </c>
      <c r="L13" s="53">
        <v>1600</v>
      </c>
    </row>
    <row r="14" spans="2:15">
      <c r="B14" s="31" t="s">
        <v>104</v>
      </c>
      <c r="C14" s="53">
        <v>630</v>
      </c>
      <c r="D14" s="53">
        <v>630</v>
      </c>
      <c r="E14" s="53">
        <v>850</v>
      </c>
      <c r="F14" s="53">
        <v>850</v>
      </c>
      <c r="G14" s="53">
        <v>1250</v>
      </c>
      <c r="H14" s="53">
        <v>1300</v>
      </c>
      <c r="I14" s="53">
        <v>1350</v>
      </c>
      <c r="J14" s="53">
        <v>2100</v>
      </c>
      <c r="K14" s="53">
        <v>2340</v>
      </c>
      <c r="L14" s="53">
        <v>2450</v>
      </c>
    </row>
    <row r="15" spans="2:15">
      <c r="B15" s="31" t="s">
        <v>105</v>
      </c>
      <c r="C15" s="53">
        <v>1710</v>
      </c>
      <c r="D15" s="53">
        <v>1325</v>
      </c>
      <c r="E15" s="53">
        <v>1400</v>
      </c>
      <c r="F15" s="53">
        <v>1520</v>
      </c>
      <c r="G15" s="53">
        <v>1390</v>
      </c>
      <c r="H15" s="53">
        <v>1645</v>
      </c>
      <c r="I15" s="53">
        <v>1460</v>
      </c>
      <c r="J15" s="53">
        <v>1425</v>
      </c>
      <c r="K15" s="53">
        <v>1590</v>
      </c>
      <c r="L15" s="53">
        <v>1680</v>
      </c>
    </row>
    <row r="16" spans="2:15">
      <c r="B16" s="31" t="s">
        <v>106</v>
      </c>
      <c r="C16" s="53">
        <v>978</v>
      </c>
      <c r="D16" s="52">
        <f>C16*1.05</f>
        <v>1026.9000000000001</v>
      </c>
      <c r="E16" s="52">
        <f t="shared" ref="E16:L16" si="2">D16*1.05</f>
        <v>1078.2450000000001</v>
      </c>
      <c r="F16" s="52">
        <f t="shared" si="2"/>
        <v>1132.1572500000002</v>
      </c>
      <c r="G16" s="52">
        <f t="shared" si="2"/>
        <v>1188.7651125000002</v>
      </c>
      <c r="H16" s="52">
        <f t="shared" si="2"/>
        <v>1248.2033681250002</v>
      </c>
      <c r="I16" s="52">
        <f t="shared" si="2"/>
        <v>1310.6135365312502</v>
      </c>
      <c r="J16" s="52">
        <f t="shared" si="2"/>
        <v>1376.1442133578128</v>
      </c>
      <c r="K16" s="52">
        <f t="shared" si="2"/>
        <v>1444.9514240257035</v>
      </c>
      <c r="L16" s="52">
        <f t="shared" si="2"/>
        <v>1517.1989952269887</v>
      </c>
    </row>
    <row r="17" spans="2:26">
      <c r="B17" s="31" t="s">
        <v>218</v>
      </c>
      <c r="C17" s="53">
        <v>0</v>
      </c>
      <c r="D17" s="53">
        <v>0</v>
      </c>
      <c r="E17" s="53">
        <v>1500</v>
      </c>
      <c r="F17" s="53">
        <v>1500</v>
      </c>
      <c r="G17" s="53">
        <v>2000</v>
      </c>
      <c r="H17" s="53">
        <v>2000</v>
      </c>
      <c r="I17" s="53">
        <v>4000</v>
      </c>
      <c r="J17" s="53">
        <v>4000</v>
      </c>
      <c r="K17" s="53">
        <v>7000</v>
      </c>
      <c r="L17" s="53">
        <v>7000</v>
      </c>
    </row>
    <row r="18" spans="2:26">
      <c r="B18" s="31" t="s">
        <v>219</v>
      </c>
      <c r="C18" s="53">
        <v>558</v>
      </c>
      <c r="D18" s="53">
        <v>600</v>
      </c>
      <c r="E18" s="53">
        <v>250</v>
      </c>
      <c r="F18" s="53">
        <v>250</v>
      </c>
      <c r="G18" s="53">
        <v>0</v>
      </c>
      <c r="H18" s="53">
        <v>0</v>
      </c>
      <c r="I18" s="53">
        <v>0</v>
      </c>
      <c r="J18" s="53">
        <v>0</v>
      </c>
      <c r="K18" s="53">
        <v>0</v>
      </c>
      <c r="L18" s="53">
        <v>0</v>
      </c>
    </row>
    <row r="19" spans="2:26">
      <c r="B19" s="31" t="s">
        <v>107</v>
      </c>
      <c r="C19" s="53">
        <v>108</v>
      </c>
      <c r="D19" s="53">
        <v>108</v>
      </c>
      <c r="E19" s="53">
        <v>50</v>
      </c>
      <c r="F19" s="53">
        <v>225</v>
      </c>
      <c r="G19" s="53">
        <v>225</v>
      </c>
      <c r="H19" s="53">
        <v>0</v>
      </c>
      <c r="I19" s="53">
        <v>275</v>
      </c>
      <c r="J19" s="53">
        <v>275</v>
      </c>
      <c r="K19" s="53">
        <v>275</v>
      </c>
      <c r="L19" s="53">
        <v>320</v>
      </c>
    </row>
    <row r="20" spans="2:26">
      <c r="B20" s="31" t="s">
        <v>108</v>
      </c>
      <c r="C20" s="53">
        <v>196</v>
      </c>
      <c r="D20" s="52">
        <f>$C$20</f>
        <v>196</v>
      </c>
      <c r="E20" s="137">
        <f t="shared" ref="E20:L20" si="3">$C$20</f>
        <v>196</v>
      </c>
      <c r="F20" s="137">
        <f t="shared" si="3"/>
        <v>196</v>
      </c>
      <c r="G20" s="137">
        <f t="shared" si="3"/>
        <v>196</v>
      </c>
      <c r="H20" s="137">
        <f t="shared" si="3"/>
        <v>196</v>
      </c>
      <c r="I20" s="137">
        <f t="shared" si="3"/>
        <v>196</v>
      </c>
      <c r="J20" s="137">
        <f t="shared" si="3"/>
        <v>196</v>
      </c>
      <c r="K20" s="137">
        <f t="shared" si="3"/>
        <v>196</v>
      </c>
      <c r="L20" s="137">
        <f t="shared" si="3"/>
        <v>196</v>
      </c>
    </row>
    <row r="21" spans="2:26" ht="15.75" thickBot="1">
      <c r="B21" s="31" t="s">
        <v>109</v>
      </c>
      <c r="C21" s="53">
        <v>380</v>
      </c>
      <c r="D21" s="53">
        <v>400</v>
      </c>
      <c r="E21" s="53">
        <v>600</v>
      </c>
      <c r="F21" s="53">
        <v>600</v>
      </c>
      <c r="G21" s="53">
        <v>650</v>
      </c>
      <c r="H21" s="53">
        <v>380</v>
      </c>
      <c r="I21" s="53">
        <v>700</v>
      </c>
      <c r="J21" s="53">
        <v>700</v>
      </c>
      <c r="K21" s="53">
        <v>750</v>
      </c>
      <c r="L21" s="53">
        <v>750</v>
      </c>
      <c r="P21" s="78"/>
      <c r="Q21" s="39" t="s">
        <v>23</v>
      </c>
      <c r="R21" s="39" t="s">
        <v>24</v>
      </c>
      <c r="S21" s="39" t="s">
        <v>25</v>
      </c>
      <c r="T21" s="39" t="s">
        <v>26</v>
      </c>
      <c r="U21" s="39" t="s">
        <v>27</v>
      </c>
      <c r="V21" s="39" t="s">
        <v>28</v>
      </c>
      <c r="W21" s="39" t="s">
        <v>29</v>
      </c>
      <c r="X21" s="39" t="s">
        <v>30</v>
      </c>
      <c r="Y21" s="39" t="s">
        <v>31</v>
      </c>
      <c r="Z21" s="39" t="s">
        <v>32</v>
      </c>
    </row>
    <row r="22" spans="2:26">
      <c r="B22" s="31" t="s">
        <v>138</v>
      </c>
      <c r="C22" s="52">
        <f>Q28+Q29</f>
        <v>285.75</v>
      </c>
      <c r="D22" s="52">
        <f t="shared" ref="D22:L22" si="4">R28+R29</f>
        <v>153</v>
      </c>
      <c r="E22" s="52">
        <f t="shared" si="4"/>
        <v>1067.625</v>
      </c>
      <c r="F22" s="52">
        <f t="shared" si="4"/>
        <v>820.875</v>
      </c>
      <c r="G22" s="52">
        <f t="shared" si="4"/>
        <v>738.375</v>
      </c>
      <c r="H22" s="52">
        <f t="shared" si="4"/>
        <v>841.5</v>
      </c>
      <c r="I22" s="52">
        <f t="shared" si="4"/>
        <v>821.25</v>
      </c>
      <c r="J22" s="52">
        <f t="shared" si="4"/>
        <v>447.75</v>
      </c>
      <c r="K22" s="52">
        <f t="shared" si="4"/>
        <v>4360.5</v>
      </c>
      <c r="L22" s="52">
        <f t="shared" si="4"/>
        <v>4360.5</v>
      </c>
      <c r="P22" s="78"/>
      <c r="Q22" s="78"/>
      <c r="R22" s="78"/>
      <c r="S22" s="78"/>
      <c r="T22" s="78"/>
      <c r="U22" s="78"/>
      <c r="V22" s="78"/>
      <c r="W22" s="78"/>
      <c r="X22" s="78"/>
      <c r="Y22" s="78"/>
      <c r="Z22" s="78"/>
    </row>
    <row r="23" spans="2:26">
      <c r="B23" s="31" t="s">
        <v>139</v>
      </c>
      <c r="C23" s="52">
        <f>Q31</f>
        <v>22.5</v>
      </c>
      <c r="D23" s="52">
        <f t="shared" ref="D23:L23" si="5">R31</f>
        <v>15</v>
      </c>
      <c r="E23" s="52">
        <f t="shared" si="5"/>
        <v>97.5</v>
      </c>
      <c r="F23" s="52">
        <f t="shared" si="5"/>
        <v>82.5</v>
      </c>
      <c r="G23" s="52">
        <f t="shared" si="5"/>
        <v>82.5</v>
      </c>
      <c r="H23" s="52">
        <f t="shared" si="5"/>
        <v>82.5</v>
      </c>
      <c r="I23" s="52">
        <f t="shared" si="5"/>
        <v>75</v>
      </c>
      <c r="J23" s="52">
        <f t="shared" si="5"/>
        <v>45</v>
      </c>
      <c r="K23" s="52">
        <f t="shared" si="5"/>
        <v>427.5</v>
      </c>
      <c r="L23" s="52">
        <f t="shared" si="5"/>
        <v>427.5</v>
      </c>
      <c r="P23" s="78" t="s">
        <v>142</v>
      </c>
      <c r="Q23" s="78"/>
      <c r="R23" s="78"/>
      <c r="S23" s="78"/>
      <c r="T23" s="78"/>
      <c r="U23" s="78"/>
      <c r="V23" s="78"/>
      <c r="W23" s="78"/>
      <c r="X23" s="78"/>
      <c r="Y23" s="78"/>
      <c r="Z23" s="78"/>
    </row>
    <row r="24" spans="2:26">
      <c r="B24" s="31" t="s">
        <v>140</v>
      </c>
      <c r="C24" s="52">
        <f>Q30</f>
        <v>3.75</v>
      </c>
      <c r="D24" s="52">
        <f t="shared" ref="D24:L24" si="6">R30</f>
        <v>2.5</v>
      </c>
      <c r="E24" s="52">
        <f t="shared" si="6"/>
        <v>16.25</v>
      </c>
      <c r="F24" s="52">
        <f t="shared" si="6"/>
        <v>13.75</v>
      </c>
      <c r="G24" s="52">
        <f t="shared" si="6"/>
        <v>13.75</v>
      </c>
      <c r="H24" s="52">
        <f t="shared" si="6"/>
        <v>13.75</v>
      </c>
      <c r="I24" s="52">
        <f t="shared" si="6"/>
        <v>12.5</v>
      </c>
      <c r="J24" s="52">
        <f t="shared" si="6"/>
        <v>7.5</v>
      </c>
      <c r="K24" s="52">
        <f t="shared" si="6"/>
        <v>71.25</v>
      </c>
      <c r="L24" s="52">
        <f t="shared" si="6"/>
        <v>71.25</v>
      </c>
      <c r="P24" s="81" t="s">
        <v>143</v>
      </c>
      <c r="Q24" s="79">
        <f>'Assets+Depr'!V18+'Assets+Depr'!V24</f>
        <v>3</v>
      </c>
      <c r="R24" s="79">
        <f>'Assets+Depr'!W18+'Assets+Depr'!W24</f>
        <v>2</v>
      </c>
      <c r="S24" s="79">
        <f>'Assets+Depr'!X18+'Assets+Depr'!X24</f>
        <v>13</v>
      </c>
      <c r="T24" s="79">
        <f>'Assets+Depr'!Y18+'Assets+Depr'!Y24</f>
        <v>11</v>
      </c>
      <c r="U24" s="79">
        <f>'Assets+Depr'!Z18+'Assets+Depr'!Z24</f>
        <v>11</v>
      </c>
      <c r="V24" s="79">
        <f>'Assets+Depr'!AA18+'Assets+Depr'!AA24</f>
        <v>11</v>
      </c>
      <c r="W24" s="79">
        <f>'Assets+Depr'!AB18+'Assets+Depr'!AB24</f>
        <v>10</v>
      </c>
      <c r="X24" s="79">
        <f>'Assets+Depr'!AC18+'Assets+Depr'!AC24</f>
        <v>6</v>
      </c>
      <c r="Y24" s="79">
        <f>'Assets+Depr'!AD18+'Assets+Depr'!AD24</f>
        <v>57</v>
      </c>
      <c r="Z24" s="79">
        <f>'Assets+Depr'!AE18+'Assets+Depr'!AE24</f>
        <v>57</v>
      </c>
    </row>
    <row r="25" spans="2:26">
      <c r="B25" s="31" t="s">
        <v>110</v>
      </c>
      <c r="C25" s="53">
        <v>60</v>
      </c>
      <c r="D25" s="52">
        <f>C25*1.05</f>
        <v>63</v>
      </c>
      <c r="E25" s="52">
        <f t="shared" ref="E25:L25" si="7">D25*1.05</f>
        <v>66.150000000000006</v>
      </c>
      <c r="F25" s="52">
        <f t="shared" si="7"/>
        <v>69.45750000000001</v>
      </c>
      <c r="G25" s="53">
        <v>100</v>
      </c>
      <c r="H25" s="52">
        <f t="shared" si="7"/>
        <v>105</v>
      </c>
      <c r="I25" s="52">
        <f t="shared" si="7"/>
        <v>110.25</v>
      </c>
      <c r="J25" s="52">
        <f t="shared" si="7"/>
        <v>115.7625</v>
      </c>
      <c r="K25" s="53">
        <v>200</v>
      </c>
      <c r="L25" s="53">
        <f t="shared" si="7"/>
        <v>210</v>
      </c>
      <c r="P25" s="81" t="s">
        <v>144</v>
      </c>
      <c r="Q25" s="80">
        <v>5</v>
      </c>
      <c r="R25" s="80">
        <v>5</v>
      </c>
      <c r="S25" s="80">
        <v>5</v>
      </c>
      <c r="T25" s="80">
        <v>5</v>
      </c>
      <c r="U25" s="80">
        <v>5</v>
      </c>
      <c r="V25" s="80">
        <v>5</v>
      </c>
      <c r="W25" s="80">
        <v>5</v>
      </c>
      <c r="X25" s="80">
        <v>5</v>
      </c>
      <c r="Y25" s="80">
        <v>5</v>
      </c>
      <c r="Z25" s="80">
        <v>5</v>
      </c>
    </row>
    <row r="26" spans="2:26">
      <c r="B26" s="31" t="s">
        <v>141</v>
      </c>
      <c r="C26" s="52">
        <f>Loans!D151</f>
        <v>188.50000000000003</v>
      </c>
      <c r="D26" s="52">
        <f>Loans!E151</f>
        <v>143.94057871883319</v>
      </c>
      <c r="E26" s="52">
        <f>Loans!F151</f>
        <v>1521.7136921906649</v>
      </c>
      <c r="F26" s="52">
        <f>Loans!G151</f>
        <v>1376.4327183770174</v>
      </c>
      <c r="G26" s="52">
        <f>Loans!H151</f>
        <v>2994.3494027851048</v>
      </c>
      <c r="H26" s="52">
        <f>Loans!I151</f>
        <v>2603.4096500998239</v>
      </c>
      <c r="I26" s="52">
        <f>Loans!J151</f>
        <v>2191.2802617080938</v>
      </c>
      <c r="J26" s="52">
        <f>Loans!K151</f>
        <v>3511.730374655308</v>
      </c>
      <c r="K26" s="52">
        <f>Loans!L151</f>
        <v>3190.3535075894624</v>
      </c>
      <c r="L26" s="52">
        <f>Loans!M151</f>
        <v>2639.9049513368086</v>
      </c>
      <c r="P26" s="81" t="s">
        <v>145</v>
      </c>
      <c r="Q26" s="80">
        <v>150</v>
      </c>
      <c r="R26" s="80">
        <v>150</v>
      </c>
      <c r="S26" s="80">
        <v>150</v>
      </c>
      <c r="T26" s="80">
        <v>150</v>
      </c>
      <c r="U26" s="80">
        <v>150</v>
      </c>
      <c r="V26" s="80">
        <v>150</v>
      </c>
      <c r="W26" s="80">
        <v>150</v>
      </c>
      <c r="X26" s="80">
        <v>150</v>
      </c>
      <c r="Y26" s="80">
        <v>150</v>
      </c>
      <c r="Z26" s="80">
        <v>150</v>
      </c>
    </row>
    <row r="27" spans="2:26">
      <c r="B27" s="31" t="s">
        <v>137</v>
      </c>
      <c r="C27" s="53">
        <v>0</v>
      </c>
      <c r="D27" s="53">
        <v>0</v>
      </c>
      <c r="E27" s="53">
        <v>0</v>
      </c>
      <c r="F27" s="53">
        <v>0</v>
      </c>
      <c r="G27" s="53">
        <v>0</v>
      </c>
      <c r="H27" s="53">
        <v>0</v>
      </c>
      <c r="I27" s="53">
        <v>0</v>
      </c>
      <c r="J27" s="53">
        <v>0</v>
      </c>
      <c r="K27" s="53">
        <v>0</v>
      </c>
      <c r="L27" s="53">
        <v>0</v>
      </c>
      <c r="P27" s="76" t="s">
        <v>146</v>
      </c>
      <c r="Q27" s="77">
        <v>200</v>
      </c>
      <c r="R27" s="77">
        <v>150</v>
      </c>
      <c r="S27" s="77">
        <v>165</v>
      </c>
      <c r="T27" s="77">
        <v>145</v>
      </c>
      <c r="U27" s="77">
        <v>125</v>
      </c>
      <c r="V27" s="77">
        <v>150</v>
      </c>
      <c r="W27" s="77">
        <v>165</v>
      </c>
      <c r="X27" s="77">
        <v>145</v>
      </c>
      <c r="Y27" s="77">
        <v>150</v>
      </c>
      <c r="Z27" s="77">
        <v>150</v>
      </c>
    </row>
    <row r="28" spans="2:26">
      <c r="B28" s="32" t="s">
        <v>111</v>
      </c>
      <c r="C28" s="54">
        <v>442</v>
      </c>
      <c r="D28" s="55">
        <f>C28*1.05</f>
        <v>464.1</v>
      </c>
      <c r="E28" s="55">
        <f t="shared" ref="E28:L28" si="8">D28*1.05</f>
        <v>487.30500000000006</v>
      </c>
      <c r="F28" s="55">
        <v>1012</v>
      </c>
      <c r="G28" s="55">
        <f t="shared" si="8"/>
        <v>1062.6000000000001</v>
      </c>
      <c r="H28" s="55">
        <f t="shared" si="8"/>
        <v>1115.7300000000002</v>
      </c>
      <c r="I28" s="55">
        <f t="shared" si="8"/>
        <v>1171.5165000000004</v>
      </c>
      <c r="J28" s="55">
        <f t="shared" si="8"/>
        <v>1230.0923250000005</v>
      </c>
      <c r="K28" s="55">
        <f t="shared" si="8"/>
        <v>1291.5969412500006</v>
      </c>
      <c r="L28" s="55">
        <f t="shared" si="8"/>
        <v>1356.1767883125005</v>
      </c>
      <c r="P28" s="81" t="s">
        <v>147</v>
      </c>
      <c r="Q28" s="79">
        <f>(Q24*Q25*Q26)*(Q27/2000)</f>
        <v>225</v>
      </c>
      <c r="R28" s="79">
        <f t="shared" ref="R28:Z28" si="9">(R24*R25*R26)*(R27/2000)</f>
        <v>112.5</v>
      </c>
      <c r="S28" s="79">
        <f t="shared" si="9"/>
        <v>804.375</v>
      </c>
      <c r="T28" s="79">
        <f t="shared" si="9"/>
        <v>598.125</v>
      </c>
      <c r="U28" s="79">
        <f t="shared" si="9"/>
        <v>515.625</v>
      </c>
      <c r="V28" s="79">
        <f t="shared" si="9"/>
        <v>618.75</v>
      </c>
      <c r="W28" s="79">
        <f t="shared" si="9"/>
        <v>618.75</v>
      </c>
      <c r="X28" s="79">
        <f t="shared" si="9"/>
        <v>326.25</v>
      </c>
      <c r="Y28" s="79">
        <f t="shared" si="9"/>
        <v>3206.25</v>
      </c>
      <c r="Z28" s="79">
        <f t="shared" si="9"/>
        <v>3206.25</v>
      </c>
    </row>
    <row r="29" spans="2:26">
      <c r="B29" s="36" t="s">
        <v>34</v>
      </c>
      <c r="C29" s="37">
        <f t="shared" ref="C29:L29" si="10">SUM(C10:C28)</f>
        <v>11840.5</v>
      </c>
      <c r="D29" s="37">
        <f t="shared" si="10"/>
        <v>11081.440578718833</v>
      </c>
      <c r="E29" s="37">
        <f t="shared" si="10"/>
        <v>17080.788692190665</v>
      </c>
      <c r="F29" s="37">
        <f t="shared" si="10"/>
        <v>20833.172468377019</v>
      </c>
      <c r="G29" s="37">
        <f t="shared" si="10"/>
        <v>22916.339515285104</v>
      </c>
      <c r="H29" s="37">
        <f t="shared" si="10"/>
        <v>21686.093018224823</v>
      </c>
      <c r="I29" s="37">
        <f t="shared" si="10"/>
        <v>23843.410298239345</v>
      </c>
      <c r="J29" s="37">
        <f t="shared" si="10"/>
        <v>26094.979413013123</v>
      </c>
      <c r="K29" s="37">
        <f t="shared" si="10"/>
        <v>35007.151872865164</v>
      </c>
      <c r="L29" s="37">
        <f t="shared" si="10"/>
        <v>34978.530734876294</v>
      </c>
      <c r="P29" s="82" t="s">
        <v>217</v>
      </c>
      <c r="Q29" s="79">
        <f>Q24*20.25</f>
        <v>60.75</v>
      </c>
      <c r="R29" s="79">
        <f t="shared" ref="R29:Z29" si="11">R24*20.25</f>
        <v>40.5</v>
      </c>
      <c r="S29" s="79">
        <f t="shared" si="11"/>
        <v>263.25</v>
      </c>
      <c r="T29" s="79">
        <f t="shared" si="11"/>
        <v>222.75</v>
      </c>
      <c r="U29" s="79">
        <f t="shared" si="11"/>
        <v>222.75</v>
      </c>
      <c r="V29" s="79">
        <f t="shared" si="11"/>
        <v>222.75</v>
      </c>
      <c r="W29" s="79">
        <f t="shared" si="11"/>
        <v>202.5</v>
      </c>
      <c r="X29" s="79">
        <f t="shared" si="11"/>
        <v>121.5</v>
      </c>
      <c r="Y29" s="79">
        <f t="shared" si="11"/>
        <v>1154.25</v>
      </c>
      <c r="Z29" s="79">
        <f t="shared" si="11"/>
        <v>1154.25</v>
      </c>
    </row>
    <row r="30" spans="2:26">
      <c r="P30" s="82" t="s">
        <v>148</v>
      </c>
      <c r="Q30" s="83">
        <f>Q24*1.25</f>
        <v>3.75</v>
      </c>
      <c r="R30" s="83">
        <f t="shared" ref="R30:Z30" si="12">R24*1.25</f>
        <v>2.5</v>
      </c>
      <c r="S30" s="83">
        <f t="shared" si="12"/>
        <v>16.25</v>
      </c>
      <c r="T30" s="83">
        <f t="shared" si="12"/>
        <v>13.75</v>
      </c>
      <c r="U30" s="83">
        <f t="shared" si="12"/>
        <v>13.75</v>
      </c>
      <c r="V30" s="83">
        <f t="shared" si="12"/>
        <v>13.75</v>
      </c>
      <c r="W30" s="83">
        <f t="shared" si="12"/>
        <v>12.5</v>
      </c>
      <c r="X30" s="83">
        <f t="shared" si="12"/>
        <v>7.5</v>
      </c>
      <c r="Y30" s="83">
        <f t="shared" si="12"/>
        <v>71.25</v>
      </c>
      <c r="Z30" s="83">
        <f t="shared" si="12"/>
        <v>71.25</v>
      </c>
    </row>
    <row r="31" spans="2:26">
      <c r="B31" s="146" t="s">
        <v>227</v>
      </c>
      <c r="C31" s="142">
        <f>C8-C29</f>
        <v>10879.5</v>
      </c>
      <c r="D31" s="142">
        <f t="shared" ref="D31:L31" si="13">D8-D29</f>
        <v>12391.059421281167</v>
      </c>
      <c r="E31" s="142">
        <f t="shared" si="13"/>
        <v>8110.2113078093353</v>
      </c>
      <c r="F31" s="142">
        <f t="shared" si="13"/>
        <v>16647.327531622981</v>
      </c>
      <c r="G31" s="142">
        <f t="shared" si="13"/>
        <v>18033.660484714896</v>
      </c>
      <c r="H31" s="142">
        <f t="shared" si="13"/>
        <v>-6998.593018224823</v>
      </c>
      <c r="I31" s="142">
        <f t="shared" si="13"/>
        <v>15262.589701760655</v>
      </c>
      <c r="J31" s="142">
        <f t="shared" si="13"/>
        <v>13981.270586986877</v>
      </c>
      <c r="K31" s="142">
        <f t="shared" si="13"/>
        <v>17092.848127134836</v>
      </c>
      <c r="L31" s="142">
        <f t="shared" si="13"/>
        <v>21843.469265123706</v>
      </c>
      <c r="P31" s="84" t="s">
        <v>149</v>
      </c>
      <c r="Q31" s="75">
        <f>Q24*7.5</f>
        <v>22.5</v>
      </c>
      <c r="R31" s="75">
        <f t="shared" ref="R31:Z31" si="14">R24*7.5</f>
        <v>15</v>
      </c>
      <c r="S31" s="75">
        <f t="shared" si="14"/>
        <v>97.5</v>
      </c>
      <c r="T31" s="75">
        <f t="shared" si="14"/>
        <v>82.5</v>
      </c>
      <c r="U31" s="75">
        <f t="shared" si="14"/>
        <v>82.5</v>
      </c>
      <c r="V31" s="75">
        <f t="shared" si="14"/>
        <v>82.5</v>
      </c>
      <c r="W31" s="75">
        <f t="shared" si="14"/>
        <v>75</v>
      </c>
      <c r="X31" s="75">
        <f t="shared" si="14"/>
        <v>45</v>
      </c>
      <c r="Y31" s="75">
        <f t="shared" si="14"/>
        <v>427.5</v>
      </c>
      <c r="Z31" s="75">
        <f t="shared" si="14"/>
        <v>427.5</v>
      </c>
    </row>
    <row r="33" spans="2:12">
      <c r="B33" s="33" t="s">
        <v>115</v>
      </c>
      <c r="C33" s="34"/>
      <c r="D33" s="34"/>
      <c r="E33" s="34"/>
      <c r="F33" s="34"/>
      <c r="G33" s="34"/>
      <c r="H33" s="34"/>
      <c r="I33" s="34"/>
      <c r="J33" s="34"/>
      <c r="K33" s="34"/>
      <c r="L33" s="34"/>
    </row>
    <row r="34" spans="2:12">
      <c r="B34" s="31" t="s">
        <v>112</v>
      </c>
      <c r="C34" s="53">
        <v>0</v>
      </c>
      <c r="D34" s="53">
        <v>0</v>
      </c>
      <c r="E34" s="53">
        <v>0</v>
      </c>
      <c r="F34" s="53">
        <v>0</v>
      </c>
      <c r="G34" s="53">
        <v>0</v>
      </c>
      <c r="H34" s="53">
        <v>0</v>
      </c>
      <c r="I34" s="53">
        <v>0</v>
      </c>
      <c r="J34" s="53">
        <v>0</v>
      </c>
      <c r="K34" s="53">
        <v>0</v>
      </c>
      <c r="L34" s="53">
        <v>0</v>
      </c>
    </row>
    <row r="35" spans="2:12">
      <c r="B35" s="31" t="s">
        <v>96</v>
      </c>
      <c r="C35" s="71">
        <f>-('Assets+Depr'!G42)</f>
        <v>-2415.6428571428569</v>
      </c>
      <c r="D35" s="71">
        <f>-('Assets+Depr'!H42)</f>
        <v>-831.28571428571422</v>
      </c>
      <c r="E35" s="71">
        <f>-('Assets+Depr'!I42)</f>
        <v>-1214.6190476190475</v>
      </c>
      <c r="F35" s="71">
        <f>-('Assets+Depr'!J42)</f>
        <v>-1597.952380952381</v>
      </c>
      <c r="G35" s="71">
        <f>-('Assets+Depr'!K42)</f>
        <v>-3291.2857142857133</v>
      </c>
      <c r="H35" s="71">
        <f>-('Assets+Depr'!L42)</f>
        <v>-5026.2857142857147</v>
      </c>
      <c r="I35" s="71">
        <f>-('Assets+Depr'!M42)</f>
        <v>-5067.9523809523807</v>
      </c>
      <c r="J35" s="71">
        <f>-('Assets+Depr'!N42)</f>
        <v>-4790.8095238095248</v>
      </c>
      <c r="K35" s="71">
        <f>-('Assets+Depr'!O42)</f>
        <v>-5808.2500000000009</v>
      </c>
      <c r="L35" s="71">
        <f>-('Assets+Depr'!P42)</f>
        <v>-7102.833333333333</v>
      </c>
    </row>
    <row r="36" spans="2:12" s="130" customFormat="1">
      <c r="B36" s="133" t="s">
        <v>229</v>
      </c>
      <c r="C36" s="138">
        <v>0</v>
      </c>
      <c r="D36" s="138">
        <v>0</v>
      </c>
      <c r="E36" s="138">
        <v>0</v>
      </c>
      <c r="F36" s="138">
        <v>0</v>
      </c>
      <c r="G36" s="138">
        <v>0</v>
      </c>
      <c r="H36" s="138">
        <v>0</v>
      </c>
      <c r="I36" s="138">
        <v>0</v>
      </c>
      <c r="J36" s="138">
        <v>0</v>
      </c>
      <c r="K36" s="138">
        <v>0</v>
      </c>
      <c r="L36" s="138">
        <v>0</v>
      </c>
    </row>
    <row r="37" spans="2:12">
      <c r="B37" s="31" t="s">
        <v>230</v>
      </c>
    </row>
    <row r="38" spans="2:12">
      <c r="B38" s="72" t="s">
        <v>125</v>
      </c>
      <c r="C38" s="52">
        <f>'Assets+Depr'!V16*50</f>
        <v>0</v>
      </c>
      <c r="D38" s="52">
        <f>'Assets+Depr'!W16*50</f>
        <v>0</v>
      </c>
      <c r="E38" s="52">
        <f>'Assets+Depr'!X16*50</f>
        <v>0</v>
      </c>
      <c r="F38" s="52">
        <f>'Assets+Depr'!Y16*50</f>
        <v>50</v>
      </c>
      <c r="G38" s="52">
        <f>'Assets+Depr'!Z16*50</f>
        <v>0</v>
      </c>
      <c r="H38" s="52">
        <f>'Assets+Depr'!AA16*50</f>
        <v>0</v>
      </c>
      <c r="I38" s="52">
        <f>'Assets+Depr'!AB16*50</f>
        <v>0</v>
      </c>
      <c r="J38" s="52">
        <f>'Assets+Depr'!AC16*50</f>
        <v>200</v>
      </c>
      <c r="K38" s="52">
        <f>'Assets+Depr'!AD16*50</f>
        <v>0</v>
      </c>
      <c r="L38" s="52">
        <f>'Assets+Depr'!AE16*50</f>
        <v>0</v>
      </c>
    </row>
    <row r="39" spans="2:12">
      <c r="B39" s="72" t="s">
        <v>126</v>
      </c>
      <c r="C39" s="52">
        <f>'Assets+Depr'!V22*75</f>
        <v>0</v>
      </c>
      <c r="D39" s="52">
        <f>'Assets+Depr'!W22*75</f>
        <v>0</v>
      </c>
      <c r="E39" s="52">
        <f>'Assets+Depr'!X22*75</f>
        <v>0</v>
      </c>
      <c r="F39" s="52">
        <f>'Assets+Depr'!Y22*75</f>
        <v>0</v>
      </c>
      <c r="G39" s="52">
        <f>'Assets+Depr'!Z22*75</f>
        <v>0</v>
      </c>
      <c r="H39" s="52">
        <f>'Assets+Depr'!AA22*75</f>
        <v>75</v>
      </c>
      <c r="I39" s="52">
        <f>'Assets+Depr'!AB22*75</f>
        <v>0</v>
      </c>
      <c r="J39" s="52">
        <f>'Assets+Depr'!AC22*75</f>
        <v>0</v>
      </c>
      <c r="K39" s="52">
        <f>'Assets+Depr'!AD22*75</f>
        <v>0</v>
      </c>
      <c r="L39" s="52">
        <f>'Assets+Depr'!AE22*75</f>
        <v>0</v>
      </c>
    </row>
    <row r="40" spans="2:12">
      <c r="B40" s="72" t="s">
        <v>40</v>
      </c>
      <c r="C40" s="53">
        <v>0</v>
      </c>
      <c r="D40" s="53">
        <v>0</v>
      </c>
      <c r="E40" s="53">
        <v>0</v>
      </c>
      <c r="F40" s="53">
        <v>0</v>
      </c>
      <c r="G40" s="53">
        <v>0</v>
      </c>
      <c r="H40" s="53">
        <v>0</v>
      </c>
      <c r="I40" s="53">
        <v>0</v>
      </c>
      <c r="J40" s="53">
        <v>0</v>
      </c>
      <c r="K40" s="53">
        <v>0</v>
      </c>
      <c r="L40" s="53">
        <v>0</v>
      </c>
    </row>
    <row r="41" spans="2:12">
      <c r="B41" s="31" t="s">
        <v>113</v>
      </c>
      <c r="C41" s="52">
        <v>0</v>
      </c>
      <c r="D41" s="52">
        <f>'Book Bal Sheet'!C22-'Book Bal Sheet'!D22</f>
        <v>0</v>
      </c>
      <c r="E41" s="52">
        <f>'Book Bal Sheet'!D22-'Book Bal Sheet'!E22</f>
        <v>0</v>
      </c>
      <c r="F41" s="52">
        <f>'Book Bal Sheet'!E22-'Book Bal Sheet'!F22</f>
        <v>0</v>
      </c>
      <c r="G41" s="52">
        <f>'Book Bal Sheet'!F22-'Book Bal Sheet'!G22</f>
        <v>0</v>
      </c>
      <c r="H41" s="52">
        <f>'Book Bal Sheet'!G22-'Book Bal Sheet'!H22</f>
        <v>0</v>
      </c>
      <c r="I41" s="52">
        <f>'Book Bal Sheet'!H22-'Book Bal Sheet'!I22</f>
        <v>0</v>
      </c>
      <c r="J41" s="52">
        <f>'Book Bal Sheet'!I22-'Book Bal Sheet'!J22</f>
        <v>0</v>
      </c>
      <c r="K41" s="52">
        <f>'Book Bal Sheet'!J22-'Book Bal Sheet'!K22</f>
        <v>0</v>
      </c>
      <c r="L41" s="52">
        <f>'Book Bal Sheet'!K22-'Book Bal Sheet'!L22</f>
        <v>0</v>
      </c>
    </row>
    <row r="42" spans="2:12">
      <c r="B42" s="32" t="s">
        <v>114</v>
      </c>
      <c r="C42" s="55">
        <v>0</v>
      </c>
      <c r="D42" s="55">
        <f>'Book Bal Sheet'!C7-'Book Bal Sheet'!D7</f>
        <v>0</v>
      </c>
      <c r="E42" s="55">
        <f>'Book Bal Sheet'!D7-'Book Bal Sheet'!E7</f>
        <v>0</v>
      </c>
      <c r="F42" s="55">
        <f>'Book Bal Sheet'!E7-'Book Bal Sheet'!F7</f>
        <v>0</v>
      </c>
      <c r="G42" s="55">
        <f>'Book Bal Sheet'!F7-'Book Bal Sheet'!G7</f>
        <v>0</v>
      </c>
      <c r="H42" s="55">
        <f>'Book Bal Sheet'!G7-'Book Bal Sheet'!H7</f>
        <v>0</v>
      </c>
      <c r="I42" s="55">
        <f>'Book Bal Sheet'!H7-'Book Bal Sheet'!I7</f>
        <v>0</v>
      </c>
      <c r="J42" s="55">
        <f>'Book Bal Sheet'!I7-'Book Bal Sheet'!J7</f>
        <v>0</v>
      </c>
      <c r="K42" s="55">
        <f>'Book Bal Sheet'!J7-'Book Bal Sheet'!K7</f>
        <v>0</v>
      </c>
      <c r="L42" s="55">
        <f>'Book Bal Sheet'!K7-'Book Bal Sheet'!L7</f>
        <v>0</v>
      </c>
    </row>
    <row r="43" spans="2:12" ht="15" customHeight="1">
      <c r="B43" s="38" t="s">
        <v>116</v>
      </c>
      <c r="C43" s="37">
        <f t="shared" ref="C43:L43" si="15">SUM(C34:C42)</f>
        <v>-2415.6428571428569</v>
      </c>
      <c r="D43" s="37">
        <f t="shared" si="15"/>
        <v>-831.28571428571422</v>
      </c>
      <c r="E43" s="37">
        <f t="shared" si="15"/>
        <v>-1214.6190476190475</v>
      </c>
      <c r="F43" s="37">
        <f t="shared" si="15"/>
        <v>-1547.952380952381</v>
      </c>
      <c r="G43" s="37">
        <f t="shared" si="15"/>
        <v>-3291.2857142857133</v>
      </c>
      <c r="H43" s="37">
        <f t="shared" si="15"/>
        <v>-4951.2857142857147</v>
      </c>
      <c r="I43" s="37">
        <f t="shared" si="15"/>
        <v>-5067.9523809523807</v>
      </c>
      <c r="J43" s="37">
        <f t="shared" si="15"/>
        <v>-4590.8095238095248</v>
      </c>
      <c r="K43" s="37">
        <f t="shared" si="15"/>
        <v>-5808.2500000000009</v>
      </c>
      <c r="L43" s="37">
        <f t="shared" si="15"/>
        <v>-7102.833333333333</v>
      </c>
    </row>
    <row r="45" spans="2:12">
      <c r="B45" s="146" t="s">
        <v>97</v>
      </c>
      <c r="C45" s="142">
        <f t="shared" ref="C45:L45" si="16">C8-C29+C43</f>
        <v>8463.8571428571431</v>
      </c>
      <c r="D45" s="142">
        <f t="shared" si="16"/>
        <v>11559.773706995453</v>
      </c>
      <c r="E45" s="142">
        <f t="shared" si="16"/>
        <v>6895.5922601902876</v>
      </c>
      <c r="F45" s="142">
        <f t="shared" si="16"/>
        <v>15099.375150670599</v>
      </c>
      <c r="G45" s="142">
        <f t="shared" si="16"/>
        <v>14742.374770429182</v>
      </c>
      <c r="H45" s="142">
        <f t="shared" si="16"/>
        <v>-11949.878732510537</v>
      </c>
      <c r="I45" s="142">
        <f t="shared" si="16"/>
        <v>10194.637320808273</v>
      </c>
      <c r="J45" s="142">
        <f t="shared" si="16"/>
        <v>9390.4610631773521</v>
      </c>
      <c r="K45" s="142">
        <f t="shared" si="16"/>
        <v>11284.598127134836</v>
      </c>
      <c r="L45" s="142">
        <f t="shared" si="16"/>
        <v>14740.635931790373</v>
      </c>
    </row>
    <row r="47" spans="2:12">
      <c r="B47" s="133" t="s">
        <v>228</v>
      </c>
      <c r="C47" s="140">
        <f xml:space="preserve"> -Loans!D148</f>
        <v>-600</v>
      </c>
      <c r="D47" s="140">
        <f xml:space="preserve"> -Loans!E148</f>
        <v>0</v>
      </c>
      <c r="E47" s="140">
        <f xml:space="preserve"> -Loans!F148</f>
        <v>-6900</v>
      </c>
      <c r="F47" s="140">
        <f xml:space="preserve"> -Loans!G148</f>
        <v>0</v>
      </c>
      <c r="G47" s="140">
        <f xml:space="preserve"> -Loans!H148</f>
        <v>-5000</v>
      </c>
      <c r="H47" s="140">
        <f xml:space="preserve"> -Loans!I148</f>
        <v>-750</v>
      </c>
      <c r="I47" s="140">
        <f xml:space="preserve"> -Loans!J148</f>
        <v>0</v>
      </c>
      <c r="J47" s="140">
        <f xml:space="preserve"> -Loans!K148</f>
        <v>0</v>
      </c>
      <c r="K47" s="140">
        <f xml:space="preserve"> -Loans!L148</f>
        <v>-6975</v>
      </c>
      <c r="L47" s="140">
        <f xml:space="preserve"> -Loans!M148</f>
        <v>0</v>
      </c>
    </row>
    <row r="50" spans="5:5">
      <c r="E50" s="148"/>
    </row>
    <row r="69" spans="2:12" ht="15.75" thickBot="1"/>
    <row r="70" spans="2:12" ht="15.75" thickBot="1">
      <c r="B70" s="41"/>
      <c r="C70" s="42" t="s">
        <v>23</v>
      </c>
      <c r="D70" s="42" t="s">
        <v>24</v>
      </c>
      <c r="E70" s="42" t="s">
        <v>25</v>
      </c>
      <c r="F70" s="42" t="s">
        <v>26</v>
      </c>
      <c r="G70" s="42" t="s">
        <v>27</v>
      </c>
      <c r="H70" s="42" t="s">
        <v>28</v>
      </c>
      <c r="I70" s="42" t="s">
        <v>29</v>
      </c>
      <c r="J70" s="42" t="s">
        <v>30</v>
      </c>
      <c r="K70" s="42" t="s">
        <v>31</v>
      </c>
      <c r="L70" s="43" t="s">
        <v>32</v>
      </c>
    </row>
    <row r="71" spans="2:12">
      <c r="B71" s="44" t="s">
        <v>117</v>
      </c>
      <c r="C71" s="45">
        <f>'Assets+Depr'!V18</f>
        <v>3</v>
      </c>
      <c r="D71" s="45">
        <f>'Assets+Depr'!W18</f>
        <v>2</v>
      </c>
      <c r="E71" s="45">
        <f>'Assets+Depr'!X18</f>
        <v>12</v>
      </c>
      <c r="F71" s="45">
        <f>'Assets+Depr'!Y18</f>
        <v>10</v>
      </c>
      <c r="G71" s="45">
        <f>'Assets+Depr'!Z18</f>
        <v>10</v>
      </c>
      <c r="H71" s="45">
        <f>'Assets+Depr'!AA18</f>
        <v>10</v>
      </c>
      <c r="I71" s="45">
        <f>'Assets+Depr'!AB18</f>
        <v>9</v>
      </c>
      <c r="J71" s="45">
        <f>'Assets+Depr'!AC18</f>
        <v>5</v>
      </c>
      <c r="K71" s="45">
        <f>'Assets+Depr'!AD18</f>
        <v>55</v>
      </c>
      <c r="L71" s="46">
        <f>'Assets+Depr'!AE18</f>
        <v>55</v>
      </c>
    </row>
    <row r="72" spans="2:12">
      <c r="B72" s="44" t="s">
        <v>118</v>
      </c>
      <c r="C72" s="45">
        <v>1</v>
      </c>
      <c r="D72" s="45">
        <v>1</v>
      </c>
      <c r="E72" s="45">
        <v>1</v>
      </c>
      <c r="F72" s="45">
        <v>1</v>
      </c>
      <c r="G72" s="45">
        <v>1</v>
      </c>
      <c r="H72" s="45">
        <v>1</v>
      </c>
      <c r="I72" s="45">
        <v>1</v>
      </c>
      <c r="J72" s="45">
        <v>1</v>
      </c>
      <c r="K72" s="45">
        <v>1</v>
      </c>
      <c r="L72" s="46">
        <v>1</v>
      </c>
    </row>
    <row r="73" spans="2:12">
      <c r="B73" s="44" t="s">
        <v>119</v>
      </c>
      <c r="C73" s="45">
        <v>120</v>
      </c>
      <c r="D73" s="45">
        <v>105</v>
      </c>
      <c r="E73" s="45">
        <v>115</v>
      </c>
      <c r="F73" s="45">
        <v>121</v>
      </c>
      <c r="G73" s="45">
        <v>118</v>
      </c>
      <c r="H73" s="45">
        <v>125</v>
      </c>
      <c r="I73" s="45">
        <v>117</v>
      </c>
      <c r="J73" s="45">
        <v>105</v>
      </c>
      <c r="K73" s="45">
        <v>110</v>
      </c>
      <c r="L73" s="46">
        <v>124</v>
      </c>
    </row>
    <row r="74" spans="2:12">
      <c r="B74" s="47" t="s">
        <v>120</v>
      </c>
      <c r="C74" s="40">
        <v>2</v>
      </c>
      <c r="D74" s="40">
        <v>2.25</v>
      </c>
      <c r="E74" s="40">
        <v>1.95</v>
      </c>
      <c r="F74" s="40">
        <v>2.0499999999999998</v>
      </c>
      <c r="G74" s="40">
        <v>2.5</v>
      </c>
      <c r="H74" s="40">
        <v>2.15</v>
      </c>
      <c r="I74" s="40">
        <v>2</v>
      </c>
      <c r="J74" s="40">
        <v>2.0499999999999998</v>
      </c>
      <c r="K74" s="40">
        <v>2</v>
      </c>
      <c r="L74" s="48">
        <v>2.1</v>
      </c>
    </row>
    <row r="75" spans="2:12" ht="15.75" thickBot="1">
      <c r="B75" s="49" t="s">
        <v>34</v>
      </c>
      <c r="C75" s="50">
        <f>C71*C72*C73*C74</f>
        <v>720</v>
      </c>
      <c r="D75" s="50">
        <f t="shared" ref="D75:L75" si="17">D71*D72*D73*D74</f>
        <v>472.5</v>
      </c>
      <c r="E75" s="50">
        <f t="shared" si="17"/>
        <v>2691</v>
      </c>
      <c r="F75" s="50">
        <f t="shared" si="17"/>
        <v>2480.5</v>
      </c>
      <c r="G75" s="50">
        <f t="shared" si="17"/>
        <v>2950</v>
      </c>
      <c r="H75" s="50">
        <f t="shared" si="17"/>
        <v>2687.5</v>
      </c>
      <c r="I75" s="50">
        <f t="shared" si="17"/>
        <v>2106</v>
      </c>
      <c r="J75" s="50">
        <f t="shared" si="17"/>
        <v>1076.25</v>
      </c>
      <c r="K75" s="50">
        <f t="shared" si="17"/>
        <v>12100</v>
      </c>
      <c r="L75" s="51">
        <f t="shared" si="17"/>
        <v>14322</v>
      </c>
    </row>
  </sheetData>
  <mergeCells count="2">
    <mergeCell ref="B1:L1"/>
    <mergeCell ref="B2:L2"/>
  </mergeCell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dimension ref="B1:L42"/>
  <sheetViews>
    <sheetView workbookViewId="0"/>
  </sheetViews>
  <sheetFormatPr defaultRowHeight="15"/>
  <cols>
    <col min="1" max="1" width="4.7109375" customWidth="1"/>
    <col min="2" max="2" width="42.7109375" customWidth="1"/>
    <col min="3" max="12" width="12.7109375" customWidth="1"/>
  </cols>
  <sheetData>
    <row r="1" spans="2:12" s="130" customFormat="1" ht="18.75">
      <c r="B1" s="163" t="s">
        <v>243</v>
      </c>
      <c r="C1" s="163"/>
      <c r="D1" s="163"/>
      <c r="E1" s="163"/>
      <c r="F1" s="163"/>
      <c r="G1" s="163"/>
      <c r="H1" s="163"/>
      <c r="I1" s="163"/>
      <c r="J1" s="163"/>
      <c r="K1" s="163"/>
      <c r="L1" s="163"/>
    </row>
    <row r="2" spans="2:12" s="130" customFormat="1"/>
    <row r="4" spans="2:12" ht="15.75" thickBot="1">
      <c r="B4" s="130"/>
      <c r="C4" s="131" t="s">
        <v>23</v>
      </c>
      <c r="D4" s="131" t="s">
        <v>24</v>
      </c>
      <c r="E4" s="131" t="s">
        <v>25</v>
      </c>
      <c r="F4" s="131" t="s">
        <v>26</v>
      </c>
      <c r="G4" s="131" t="s">
        <v>27</v>
      </c>
      <c r="H4" s="131" t="s">
        <v>28</v>
      </c>
      <c r="I4" s="131" t="s">
        <v>29</v>
      </c>
      <c r="J4" s="131" t="s">
        <v>30</v>
      </c>
      <c r="K4" s="131" t="s">
        <v>31</v>
      </c>
      <c r="L4" s="131" t="s">
        <v>32</v>
      </c>
    </row>
    <row r="5" spans="2:12">
      <c r="B5" s="130" t="s">
        <v>245</v>
      </c>
      <c r="C5" s="136">
        <f>17281-6402</f>
        <v>10879</v>
      </c>
      <c r="D5" s="136">
        <f>C32</f>
        <v>15999.633571428572</v>
      </c>
      <c r="E5" s="136">
        <f t="shared" ref="E5:L5" si="0">D32</f>
        <v>22993.296664160822</v>
      </c>
      <c r="F5" s="136">
        <f t="shared" si="0"/>
        <v>27165.129981575941</v>
      </c>
      <c r="G5" s="136">
        <f t="shared" si="0"/>
        <v>36250.251947731653</v>
      </c>
      <c r="H5" s="136">
        <f t="shared" si="0"/>
        <v>45169.388683841309</v>
      </c>
      <c r="I5" s="136">
        <f t="shared" si="0"/>
        <v>33144.509951330772</v>
      </c>
      <c r="J5" s="136">
        <f t="shared" si="0"/>
        <v>39312.265530419783</v>
      </c>
      <c r="K5" s="136">
        <f t="shared" si="0"/>
        <v>44793.49447364208</v>
      </c>
      <c r="L5" s="136">
        <f t="shared" si="0"/>
        <v>51620.676340558661</v>
      </c>
    </row>
    <row r="6" spans="2:12" s="130" customFormat="1">
      <c r="B6" s="152" t="s">
        <v>246</v>
      </c>
      <c r="C6" s="139">
        <v>78970</v>
      </c>
      <c r="D6" s="55">
        <f>C33</f>
        <v>78970</v>
      </c>
      <c r="E6" s="55">
        <f t="shared" ref="E6:L6" si="1">D33</f>
        <v>78970</v>
      </c>
      <c r="F6" s="55">
        <f t="shared" si="1"/>
        <v>78970</v>
      </c>
      <c r="G6" s="55">
        <f t="shared" si="1"/>
        <v>78970</v>
      </c>
      <c r="H6" s="55">
        <f t="shared" si="1"/>
        <v>78970</v>
      </c>
      <c r="I6" s="55">
        <f t="shared" si="1"/>
        <v>78970</v>
      </c>
      <c r="J6" s="55">
        <f t="shared" si="1"/>
        <v>78970</v>
      </c>
      <c r="K6" s="55">
        <f t="shared" si="1"/>
        <v>78970</v>
      </c>
      <c r="L6" s="55">
        <f t="shared" si="1"/>
        <v>78970</v>
      </c>
    </row>
    <row r="7" spans="2:12" s="130" customFormat="1">
      <c r="B7" s="130" t="s">
        <v>244</v>
      </c>
      <c r="C7" s="136">
        <f>SUM(C5:C6)</f>
        <v>89849</v>
      </c>
      <c r="D7" s="136">
        <f t="shared" ref="D7:L7" si="2">SUM(D5:D6)</f>
        <v>94969.633571428567</v>
      </c>
      <c r="E7" s="136">
        <f t="shared" si="2"/>
        <v>101963.29666416082</v>
      </c>
      <c r="F7" s="136">
        <f t="shared" si="2"/>
        <v>106135.12998157594</v>
      </c>
      <c r="G7" s="136">
        <f t="shared" si="2"/>
        <v>115220.25194773165</v>
      </c>
      <c r="H7" s="136">
        <f t="shared" si="2"/>
        <v>124139.3886838413</v>
      </c>
      <c r="I7" s="136">
        <f t="shared" si="2"/>
        <v>112114.50995133078</v>
      </c>
      <c r="J7" s="136">
        <f t="shared" si="2"/>
        <v>118282.26553041978</v>
      </c>
      <c r="K7" s="136">
        <f t="shared" si="2"/>
        <v>123763.49447364209</v>
      </c>
      <c r="L7" s="136">
        <f t="shared" si="2"/>
        <v>130590.67634055865</v>
      </c>
    </row>
    <row r="8" spans="2:12">
      <c r="B8" s="135" t="s">
        <v>221</v>
      </c>
      <c r="C8" s="130"/>
      <c r="D8" s="130"/>
      <c r="E8" s="130"/>
      <c r="F8" s="130"/>
      <c r="G8" s="130"/>
      <c r="H8" s="130"/>
      <c r="I8" s="130"/>
      <c r="J8" s="130"/>
      <c r="K8" s="130"/>
      <c r="L8" s="130"/>
    </row>
    <row r="9" spans="2:12">
      <c r="B9" s="133" t="s">
        <v>97</v>
      </c>
      <c r="C9" s="136">
        <f>'Income Statements'!C45</f>
        <v>8463.8571428571431</v>
      </c>
      <c r="D9" s="136">
        <f>'Income Statements'!D45</f>
        <v>11559.773706995453</v>
      </c>
      <c r="E9" s="136">
        <f>'Income Statements'!E45</f>
        <v>6895.5922601902876</v>
      </c>
      <c r="F9" s="136">
        <f>'Income Statements'!F45</f>
        <v>15099.375150670599</v>
      </c>
      <c r="G9" s="136">
        <f>'Income Statements'!G45</f>
        <v>14742.374770429182</v>
      </c>
      <c r="H9" s="136">
        <f>'Income Statements'!H45</f>
        <v>-11949.878732510537</v>
      </c>
      <c r="I9" s="136">
        <f>'Income Statements'!I45</f>
        <v>10194.637320808273</v>
      </c>
      <c r="J9" s="136">
        <f>'Income Statements'!J45</f>
        <v>9390.4610631773521</v>
      </c>
      <c r="K9" s="136">
        <f>'Income Statements'!K45</f>
        <v>11284.598127134836</v>
      </c>
      <c r="L9" s="136">
        <f>'Income Statements'!L45</f>
        <v>14740.635931790373</v>
      </c>
    </row>
    <row r="10" spans="2:12">
      <c r="B10" s="134" t="s">
        <v>254</v>
      </c>
      <c r="C10" s="139">
        <v>36000</v>
      </c>
      <c r="D10" s="139">
        <f>C10*1.04</f>
        <v>37440</v>
      </c>
      <c r="E10" s="139">
        <f t="shared" ref="E10:L10" si="3">D10*1.04</f>
        <v>38937.599999999999</v>
      </c>
      <c r="F10" s="139">
        <f t="shared" si="3"/>
        <v>40495.103999999999</v>
      </c>
      <c r="G10" s="139">
        <f t="shared" si="3"/>
        <v>42114.908159999999</v>
      </c>
      <c r="H10" s="139">
        <f t="shared" si="3"/>
        <v>43799.504486400001</v>
      </c>
      <c r="I10" s="139">
        <f t="shared" si="3"/>
        <v>45551.484665856005</v>
      </c>
      <c r="J10" s="139">
        <f t="shared" si="3"/>
        <v>47373.544052490244</v>
      </c>
      <c r="K10" s="139">
        <f t="shared" si="3"/>
        <v>49268.485814589854</v>
      </c>
      <c r="L10" s="139">
        <f t="shared" si="3"/>
        <v>51239.225247173454</v>
      </c>
    </row>
    <row r="11" spans="2:12" s="130" customFormat="1">
      <c r="B11" s="133" t="s">
        <v>231</v>
      </c>
      <c r="C11" s="137">
        <f>SUM(C9:C10)</f>
        <v>44463.857142857145</v>
      </c>
      <c r="D11" s="137">
        <f>SUM(D9:D10)</f>
        <v>48999.773706995453</v>
      </c>
      <c r="E11" s="137">
        <f t="shared" ref="E11:L11" si="4">SUM(E9:E10)</f>
        <v>45833.192260190284</v>
      </c>
      <c r="F11" s="137">
        <f t="shared" si="4"/>
        <v>55594.479150670595</v>
      </c>
      <c r="G11" s="137">
        <f t="shared" si="4"/>
        <v>56857.282930429181</v>
      </c>
      <c r="H11" s="137">
        <f t="shared" si="4"/>
        <v>31849.625753889464</v>
      </c>
      <c r="I11" s="137">
        <f t="shared" si="4"/>
        <v>55746.121986664279</v>
      </c>
      <c r="J11" s="137">
        <f t="shared" si="4"/>
        <v>56764.005115667598</v>
      </c>
      <c r="K11" s="137">
        <f t="shared" si="4"/>
        <v>60553.08394172469</v>
      </c>
      <c r="L11" s="137">
        <f t="shared" si="4"/>
        <v>65979.861178963823</v>
      </c>
    </row>
    <row r="12" spans="2:12">
      <c r="B12" s="135" t="s">
        <v>222</v>
      </c>
      <c r="C12" s="130"/>
      <c r="D12" s="130"/>
      <c r="E12" s="130"/>
      <c r="F12" s="130"/>
      <c r="G12" s="130"/>
      <c r="H12" s="130"/>
      <c r="I12" s="130"/>
      <c r="J12" s="130"/>
      <c r="K12" s="130"/>
      <c r="L12" s="130"/>
    </row>
    <row r="13" spans="2:12">
      <c r="B13" s="133" t="s">
        <v>223</v>
      </c>
      <c r="C13" s="138">
        <v>0</v>
      </c>
      <c r="D13" s="138">
        <v>0</v>
      </c>
      <c r="E13" s="138">
        <v>0</v>
      </c>
      <c r="F13" s="138">
        <v>0</v>
      </c>
      <c r="G13" s="138">
        <v>0</v>
      </c>
      <c r="H13" s="138">
        <v>0</v>
      </c>
      <c r="I13" s="138">
        <v>0</v>
      </c>
      <c r="J13" s="138">
        <v>0</v>
      </c>
      <c r="K13" s="138">
        <v>0</v>
      </c>
      <c r="L13" s="138">
        <v>0</v>
      </c>
    </row>
    <row r="14" spans="2:12">
      <c r="B14" s="133" t="s">
        <v>224</v>
      </c>
      <c r="C14" s="138">
        <v>0</v>
      </c>
      <c r="D14" s="138">
        <v>0</v>
      </c>
      <c r="E14" s="138">
        <v>0</v>
      </c>
      <c r="F14" s="138">
        <v>0</v>
      </c>
      <c r="G14" s="138">
        <v>0</v>
      </c>
      <c r="H14" s="138">
        <v>0</v>
      </c>
      <c r="I14" s="138">
        <v>0</v>
      </c>
      <c r="J14" s="138">
        <v>0</v>
      </c>
      <c r="K14" s="138">
        <v>0</v>
      </c>
      <c r="L14" s="138">
        <v>0</v>
      </c>
    </row>
    <row r="15" spans="2:12">
      <c r="B15" s="134" t="s">
        <v>2</v>
      </c>
      <c r="C15" s="139">
        <v>0</v>
      </c>
      <c r="D15" s="139">
        <v>0</v>
      </c>
      <c r="E15" s="139">
        <v>0</v>
      </c>
      <c r="F15" s="139">
        <v>0</v>
      </c>
      <c r="G15" s="139">
        <v>0</v>
      </c>
      <c r="H15" s="139">
        <v>0</v>
      </c>
      <c r="I15" s="139">
        <v>0</v>
      </c>
      <c r="J15" s="139">
        <v>0</v>
      </c>
      <c r="K15" s="139">
        <v>0</v>
      </c>
      <c r="L15" s="139">
        <v>0</v>
      </c>
    </row>
    <row r="16" spans="2:12" s="130" customFormat="1">
      <c r="B16" s="133" t="s">
        <v>232</v>
      </c>
      <c r="C16" s="137">
        <f>SUM(C13:C15)</f>
        <v>0</v>
      </c>
      <c r="D16" s="137">
        <f>SUM(D13:D15)</f>
        <v>0</v>
      </c>
      <c r="E16" s="137">
        <f t="shared" ref="E16:L16" si="5">SUM(E13:E15)</f>
        <v>0</v>
      </c>
      <c r="F16" s="137">
        <f t="shared" si="5"/>
        <v>0</v>
      </c>
      <c r="G16" s="137">
        <f t="shared" si="5"/>
        <v>0</v>
      </c>
      <c r="H16" s="137">
        <f t="shared" si="5"/>
        <v>0</v>
      </c>
      <c r="I16" s="137">
        <f t="shared" si="5"/>
        <v>0</v>
      </c>
      <c r="J16" s="137">
        <f t="shared" si="5"/>
        <v>0</v>
      </c>
      <c r="K16" s="137">
        <f t="shared" si="5"/>
        <v>0</v>
      </c>
      <c r="L16" s="137">
        <f t="shared" si="5"/>
        <v>0</v>
      </c>
    </row>
    <row r="17" spans="2:12">
      <c r="B17" s="135" t="s">
        <v>257</v>
      </c>
      <c r="C17" s="138"/>
      <c r="D17" s="138"/>
      <c r="E17" s="138"/>
      <c r="F17" s="138"/>
      <c r="G17" s="138"/>
      <c r="H17" s="138"/>
      <c r="I17" s="138"/>
      <c r="J17" s="138"/>
      <c r="K17" s="138"/>
      <c r="L17" s="138"/>
    </row>
    <row r="18" spans="2:12" ht="30" customHeight="1">
      <c r="B18" s="145" t="s">
        <v>204</v>
      </c>
      <c r="C18" s="137">
        <f>IF(C9&gt;0,C9*0.1,0)</f>
        <v>846.38571428571436</v>
      </c>
      <c r="D18" s="137">
        <f t="shared" ref="D18:L18" si="6">IF(D9&gt;0,D9*0.1,0)</f>
        <v>1155.9773706995454</v>
      </c>
      <c r="E18" s="137">
        <f t="shared" si="6"/>
        <v>689.55922601902876</v>
      </c>
      <c r="F18" s="137">
        <f t="shared" si="6"/>
        <v>1509.9375150670601</v>
      </c>
      <c r="G18" s="137">
        <f t="shared" si="6"/>
        <v>1474.2374770429183</v>
      </c>
      <c r="H18" s="137">
        <f t="shared" si="6"/>
        <v>0</v>
      </c>
      <c r="I18" s="137">
        <f t="shared" si="6"/>
        <v>1019.4637320808274</v>
      </c>
      <c r="J18" s="137">
        <f t="shared" si="6"/>
        <v>939.04610631773528</v>
      </c>
      <c r="K18" s="137">
        <f t="shared" si="6"/>
        <v>1128.4598127134836</v>
      </c>
      <c r="L18" s="137">
        <f t="shared" si="6"/>
        <v>1474.0635931790375</v>
      </c>
    </row>
    <row r="19" spans="2:12" ht="15" customHeight="1">
      <c r="B19" s="145" t="s">
        <v>225</v>
      </c>
      <c r="C19" s="137">
        <f>C10</f>
        <v>36000</v>
      </c>
      <c r="D19" s="137">
        <f t="shared" ref="D19:L19" si="7">D10</f>
        <v>37440</v>
      </c>
      <c r="E19" s="137">
        <f t="shared" si="7"/>
        <v>38937.599999999999</v>
      </c>
      <c r="F19" s="137">
        <f t="shared" si="7"/>
        <v>40495.103999999999</v>
      </c>
      <c r="G19" s="137">
        <f t="shared" si="7"/>
        <v>42114.908159999999</v>
      </c>
      <c r="H19" s="137">
        <f t="shared" si="7"/>
        <v>43799.504486400001</v>
      </c>
      <c r="I19" s="137">
        <f t="shared" si="7"/>
        <v>45551.484665856005</v>
      </c>
      <c r="J19" s="137">
        <f t="shared" si="7"/>
        <v>47373.544052490244</v>
      </c>
      <c r="K19" s="137">
        <f t="shared" si="7"/>
        <v>49268.485814589854</v>
      </c>
      <c r="L19" s="137">
        <f t="shared" si="7"/>
        <v>51239.225247173454</v>
      </c>
    </row>
    <row r="20" spans="2:12" s="130" customFormat="1" ht="15" customHeight="1">
      <c r="B20" s="145" t="s">
        <v>250</v>
      </c>
      <c r="C20" s="137">
        <f>IF(C9&gt;0,(C9*0.295),0)</f>
        <v>2496.837857142857</v>
      </c>
      <c r="D20" s="137">
        <f t="shared" ref="D20:L20" si="8">IF(D9&gt;0,(D9*0.295),0)</f>
        <v>3410.1332435636582</v>
      </c>
      <c r="E20" s="137">
        <f t="shared" si="8"/>
        <v>2034.1997167561346</v>
      </c>
      <c r="F20" s="137">
        <f t="shared" si="8"/>
        <v>4454.3156694478266</v>
      </c>
      <c r="G20" s="137">
        <f t="shared" si="8"/>
        <v>4349.0005572766086</v>
      </c>
      <c r="H20" s="137">
        <f t="shared" si="8"/>
        <v>0</v>
      </c>
      <c r="I20" s="137">
        <f t="shared" si="8"/>
        <v>3007.4180096384403</v>
      </c>
      <c r="J20" s="137">
        <f t="shared" si="8"/>
        <v>2770.1860136373189</v>
      </c>
      <c r="K20" s="137">
        <f t="shared" si="8"/>
        <v>3328.9564475047764</v>
      </c>
      <c r="L20" s="137">
        <f t="shared" si="8"/>
        <v>4348.4875998781599</v>
      </c>
    </row>
    <row r="21" spans="2:12">
      <c r="B21" s="134" t="s">
        <v>2</v>
      </c>
      <c r="C21" s="139">
        <v>0</v>
      </c>
      <c r="D21" s="139">
        <v>0</v>
      </c>
      <c r="E21" s="139">
        <v>0</v>
      </c>
      <c r="F21" s="139">
        <v>0</v>
      </c>
      <c r="G21" s="139">
        <v>0</v>
      </c>
      <c r="H21" s="139">
        <v>0</v>
      </c>
      <c r="I21" s="139">
        <v>0</v>
      </c>
      <c r="J21" s="139">
        <v>0</v>
      </c>
      <c r="K21" s="139">
        <v>0</v>
      </c>
      <c r="L21" s="139">
        <v>0</v>
      </c>
    </row>
    <row r="22" spans="2:12" s="130" customFormat="1">
      <c r="B22" s="133" t="s">
        <v>258</v>
      </c>
      <c r="C22" s="137">
        <f t="shared" ref="C22:L22" si="9">SUM(C18:C21)</f>
        <v>39343.223571428571</v>
      </c>
      <c r="D22" s="137">
        <f t="shared" si="9"/>
        <v>42006.110614263205</v>
      </c>
      <c r="E22" s="137">
        <f t="shared" si="9"/>
        <v>41661.358942775165</v>
      </c>
      <c r="F22" s="137">
        <f t="shared" si="9"/>
        <v>46459.357184514884</v>
      </c>
      <c r="G22" s="137">
        <f t="shared" si="9"/>
        <v>47938.146194319525</v>
      </c>
      <c r="H22" s="137">
        <f t="shared" si="9"/>
        <v>43799.504486400001</v>
      </c>
      <c r="I22" s="137">
        <f t="shared" si="9"/>
        <v>49578.366407575268</v>
      </c>
      <c r="J22" s="137">
        <f t="shared" si="9"/>
        <v>51082.776172445301</v>
      </c>
      <c r="K22" s="137">
        <f t="shared" si="9"/>
        <v>53725.902074808109</v>
      </c>
      <c r="L22" s="137">
        <f t="shared" si="9"/>
        <v>57061.776440230649</v>
      </c>
    </row>
    <row r="23" spans="2:12">
      <c r="B23" s="135" t="s">
        <v>226</v>
      </c>
      <c r="C23" s="130"/>
      <c r="D23" s="130"/>
      <c r="E23" s="130"/>
      <c r="F23" s="130"/>
      <c r="G23" s="130"/>
      <c r="H23" s="130"/>
      <c r="I23" s="130"/>
      <c r="J23" s="130"/>
      <c r="K23" s="130"/>
      <c r="L23" s="130"/>
    </row>
    <row r="24" spans="2:12">
      <c r="B24" s="133" t="s">
        <v>255</v>
      </c>
      <c r="C24" s="138">
        <v>0</v>
      </c>
      <c r="D24" s="138">
        <v>0</v>
      </c>
      <c r="E24" s="138">
        <v>0</v>
      </c>
      <c r="F24" s="138">
        <v>0</v>
      </c>
      <c r="G24" s="138">
        <v>0</v>
      </c>
      <c r="H24" s="138">
        <v>0</v>
      </c>
      <c r="I24" s="138">
        <v>0</v>
      </c>
      <c r="J24" s="138">
        <v>0</v>
      </c>
      <c r="K24" s="138">
        <v>0</v>
      </c>
      <c r="L24" s="138">
        <v>0</v>
      </c>
    </row>
    <row r="25" spans="2:12" ht="15" customHeight="1">
      <c r="B25" s="147" t="s">
        <v>256</v>
      </c>
      <c r="C25" s="139">
        <v>0</v>
      </c>
      <c r="D25" s="139">
        <v>0</v>
      </c>
      <c r="E25" s="139">
        <v>0</v>
      </c>
      <c r="F25" s="139">
        <v>-50</v>
      </c>
      <c r="G25" s="139">
        <v>0</v>
      </c>
      <c r="H25" s="139">
        <v>-75</v>
      </c>
      <c r="I25" s="139">
        <v>0</v>
      </c>
      <c r="J25" s="139">
        <v>-200</v>
      </c>
      <c r="K25" s="139">
        <v>0</v>
      </c>
      <c r="L25" s="139">
        <v>0</v>
      </c>
    </row>
    <row r="26" spans="2:12" s="130" customFormat="1" ht="15" customHeight="1">
      <c r="B26" s="145" t="s">
        <v>233</v>
      </c>
      <c r="C26" s="137">
        <f t="shared" ref="C26:L26" si="10">SUM(C24:C25)</f>
        <v>0</v>
      </c>
      <c r="D26" s="137">
        <f t="shared" si="10"/>
        <v>0</v>
      </c>
      <c r="E26" s="137">
        <f t="shared" si="10"/>
        <v>0</v>
      </c>
      <c r="F26" s="137">
        <f t="shared" si="10"/>
        <v>-50</v>
      </c>
      <c r="G26" s="137">
        <f t="shared" si="10"/>
        <v>0</v>
      </c>
      <c r="H26" s="137">
        <f t="shared" si="10"/>
        <v>-75</v>
      </c>
      <c r="I26" s="137">
        <f t="shared" si="10"/>
        <v>0</v>
      </c>
      <c r="J26" s="137">
        <f t="shared" si="10"/>
        <v>-200</v>
      </c>
      <c r="K26" s="137">
        <f t="shared" si="10"/>
        <v>0</v>
      </c>
      <c r="L26" s="137">
        <f t="shared" si="10"/>
        <v>0</v>
      </c>
    </row>
    <row r="27" spans="2:12" ht="15.75" thickBot="1">
      <c r="B27" s="143"/>
      <c r="C27" s="143"/>
      <c r="D27" s="143"/>
      <c r="E27" s="143"/>
      <c r="F27" s="143"/>
      <c r="G27" s="143"/>
      <c r="H27" s="143"/>
      <c r="I27" s="143"/>
      <c r="J27" s="143"/>
      <c r="K27" s="143"/>
      <c r="L27" s="143"/>
    </row>
    <row r="28" spans="2:12" ht="15.75" thickTop="1">
      <c r="B28" s="144" t="s">
        <v>251</v>
      </c>
      <c r="C28" s="136">
        <f>C9+C16-C18-C20-C21+C25</f>
        <v>5120.6335714285724</v>
      </c>
      <c r="D28" s="136">
        <f t="shared" ref="D28:L28" si="11">D11+D16-D22+D26</f>
        <v>6993.6630927322476</v>
      </c>
      <c r="E28" s="136">
        <f t="shared" si="11"/>
        <v>4171.8333174151194</v>
      </c>
      <c r="F28" s="136">
        <f t="shared" si="11"/>
        <v>9085.1219661557116</v>
      </c>
      <c r="G28" s="136">
        <f t="shared" si="11"/>
        <v>8919.1367361096563</v>
      </c>
      <c r="H28" s="136">
        <f t="shared" si="11"/>
        <v>-12024.878732510537</v>
      </c>
      <c r="I28" s="136">
        <f t="shared" si="11"/>
        <v>6167.755579089011</v>
      </c>
      <c r="J28" s="136">
        <f t="shared" si="11"/>
        <v>5481.2289432222969</v>
      </c>
      <c r="K28" s="136">
        <f t="shared" si="11"/>
        <v>6827.1818669165805</v>
      </c>
      <c r="L28" s="136">
        <f t="shared" si="11"/>
        <v>8918.0847387331742</v>
      </c>
    </row>
    <row r="29" spans="2:12" s="130" customFormat="1">
      <c r="B29" s="153" t="s">
        <v>252</v>
      </c>
      <c r="C29" s="35">
        <f>C10-C19+C24</f>
        <v>0</v>
      </c>
      <c r="D29" s="35">
        <f t="shared" ref="D29:L29" si="12">D10-D19+D24</f>
        <v>0</v>
      </c>
      <c r="E29" s="35">
        <f t="shared" si="12"/>
        <v>0</v>
      </c>
      <c r="F29" s="35">
        <f t="shared" si="12"/>
        <v>0</v>
      </c>
      <c r="G29" s="35">
        <f t="shared" si="12"/>
        <v>0</v>
      </c>
      <c r="H29" s="35">
        <f t="shared" si="12"/>
        <v>0</v>
      </c>
      <c r="I29" s="35">
        <f t="shared" si="12"/>
        <v>0</v>
      </c>
      <c r="J29" s="35">
        <f t="shared" si="12"/>
        <v>0</v>
      </c>
      <c r="K29" s="35">
        <f t="shared" si="12"/>
        <v>0</v>
      </c>
      <c r="L29" s="35">
        <f t="shared" si="12"/>
        <v>0</v>
      </c>
    </row>
    <row r="30" spans="2:12" s="130" customFormat="1">
      <c r="B30" s="144" t="s">
        <v>253</v>
      </c>
      <c r="C30" s="136">
        <f>SUM(C28:C29)</f>
        <v>5120.6335714285724</v>
      </c>
      <c r="D30" s="136">
        <f t="shared" ref="D30:L30" si="13">SUM(D28:D29)</f>
        <v>6993.6630927322476</v>
      </c>
      <c r="E30" s="136">
        <f t="shared" si="13"/>
        <v>4171.8333174151194</v>
      </c>
      <c r="F30" s="136">
        <f t="shared" si="13"/>
        <v>9085.1219661557116</v>
      </c>
      <c r="G30" s="136">
        <f t="shared" si="13"/>
        <v>8919.1367361096563</v>
      </c>
      <c r="H30" s="136">
        <f t="shared" si="13"/>
        <v>-12024.878732510537</v>
      </c>
      <c r="I30" s="136">
        <f t="shared" si="13"/>
        <v>6167.755579089011</v>
      </c>
      <c r="J30" s="136">
        <f t="shared" si="13"/>
        <v>5481.2289432222969</v>
      </c>
      <c r="K30" s="136">
        <f t="shared" si="13"/>
        <v>6827.1818669165805</v>
      </c>
      <c r="L30" s="136">
        <f t="shared" si="13"/>
        <v>8918.0847387331742</v>
      </c>
    </row>
    <row r="32" spans="2:12">
      <c r="B32" t="s">
        <v>247</v>
      </c>
      <c r="C32" s="136">
        <f t="shared" ref="C32:L32" si="14">C5+C28</f>
        <v>15999.633571428572</v>
      </c>
      <c r="D32" s="136">
        <f t="shared" si="14"/>
        <v>22993.296664160822</v>
      </c>
      <c r="E32" s="136">
        <f t="shared" si="14"/>
        <v>27165.129981575941</v>
      </c>
      <c r="F32" s="136">
        <f t="shared" si="14"/>
        <v>36250.251947731653</v>
      </c>
      <c r="G32" s="136">
        <f t="shared" si="14"/>
        <v>45169.388683841309</v>
      </c>
      <c r="H32" s="136">
        <f t="shared" si="14"/>
        <v>33144.509951330772</v>
      </c>
      <c r="I32" s="136">
        <f t="shared" si="14"/>
        <v>39312.265530419783</v>
      </c>
      <c r="J32" s="136">
        <f t="shared" si="14"/>
        <v>44793.49447364208</v>
      </c>
      <c r="K32" s="136">
        <f t="shared" si="14"/>
        <v>51620.676340558661</v>
      </c>
      <c r="L32" s="136">
        <f t="shared" si="14"/>
        <v>60538.761079291835</v>
      </c>
    </row>
    <row r="33" spans="2:12" s="130" customFormat="1">
      <c r="B33" s="152" t="s">
        <v>248</v>
      </c>
      <c r="C33" s="35">
        <f>C6+C29</f>
        <v>78970</v>
      </c>
      <c r="D33" s="35">
        <f t="shared" ref="D33:L33" si="15">D6+D29</f>
        <v>78970</v>
      </c>
      <c r="E33" s="35">
        <f t="shared" si="15"/>
        <v>78970</v>
      </c>
      <c r="F33" s="35">
        <f t="shared" si="15"/>
        <v>78970</v>
      </c>
      <c r="G33" s="35">
        <f t="shared" si="15"/>
        <v>78970</v>
      </c>
      <c r="H33" s="35">
        <f t="shared" si="15"/>
        <v>78970</v>
      </c>
      <c r="I33" s="35">
        <f t="shared" si="15"/>
        <v>78970</v>
      </c>
      <c r="J33" s="35">
        <f t="shared" si="15"/>
        <v>78970</v>
      </c>
      <c r="K33" s="35">
        <f t="shared" si="15"/>
        <v>78970</v>
      </c>
      <c r="L33" s="35">
        <f t="shared" si="15"/>
        <v>78970</v>
      </c>
    </row>
    <row r="34" spans="2:12" s="130" customFormat="1">
      <c r="B34" s="130" t="s">
        <v>249</v>
      </c>
      <c r="C34" s="136">
        <f>SUM(C32:C33)</f>
        <v>94969.633571428567</v>
      </c>
      <c r="D34" s="136">
        <f t="shared" ref="D34:L34" si="16">SUM(D32:D33)</f>
        <v>101963.29666416082</v>
      </c>
      <c r="E34" s="136">
        <f t="shared" si="16"/>
        <v>106135.12998157594</v>
      </c>
      <c r="F34" s="136">
        <f t="shared" si="16"/>
        <v>115220.25194773165</v>
      </c>
      <c r="G34" s="136">
        <f t="shared" si="16"/>
        <v>124139.3886838413</v>
      </c>
      <c r="H34" s="136">
        <f t="shared" si="16"/>
        <v>112114.50995133078</v>
      </c>
      <c r="I34" s="136">
        <f t="shared" si="16"/>
        <v>118282.26553041978</v>
      </c>
      <c r="J34" s="136">
        <f t="shared" si="16"/>
        <v>123763.49447364209</v>
      </c>
      <c r="K34" s="136">
        <f t="shared" si="16"/>
        <v>130590.67634055865</v>
      </c>
      <c r="L34" s="136">
        <f t="shared" si="16"/>
        <v>139508.76107929184</v>
      </c>
    </row>
    <row r="35" spans="2:12" s="130" customFormat="1">
      <c r="C35" s="136"/>
      <c r="D35" s="136"/>
      <c r="E35" s="136"/>
      <c r="F35" s="136"/>
      <c r="G35" s="136"/>
      <c r="H35" s="136"/>
      <c r="I35" s="136"/>
      <c r="J35" s="136"/>
      <c r="K35" s="136"/>
      <c r="L35" s="136"/>
    </row>
    <row r="36" spans="2:12" ht="45" customHeight="1">
      <c r="C36" s="154" t="s">
        <v>234</v>
      </c>
      <c r="D36" s="161" t="s">
        <v>235</v>
      </c>
      <c r="E36" s="162"/>
      <c r="F36" s="162"/>
      <c r="G36" s="162"/>
      <c r="H36" s="162"/>
      <c r="I36" s="162"/>
      <c r="J36" s="162"/>
      <c r="K36" s="162"/>
      <c r="L36" s="162"/>
    </row>
    <row r="39" spans="2:12">
      <c r="C39" t="s">
        <v>236</v>
      </c>
      <c r="E39">
        <f>3800*4</f>
        <v>15200</v>
      </c>
      <c r="H39" t="s">
        <v>238</v>
      </c>
      <c r="I39">
        <v>15</v>
      </c>
      <c r="K39" t="s">
        <v>241</v>
      </c>
    </row>
    <row r="40" spans="2:12">
      <c r="C40" t="s">
        <v>237</v>
      </c>
      <c r="E40">
        <v>10000</v>
      </c>
      <c r="H40" t="s">
        <v>239</v>
      </c>
      <c r="I40">
        <v>14.5</v>
      </c>
      <c r="K40" t="s">
        <v>242</v>
      </c>
    </row>
    <row r="41" spans="2:12">
      <c r="E41">
        <f>SUM(E39:E40)</f>
        <v>25200</v>
      </c>
      <c r="H41" t="s">
        <v>240</v>
      </c>
      <c r="I41">
        <v>0</v>
      </c>
    </row>
    <row r="42" spans="2:12">
      <c r="I42">
        <f>SUM(I39:I41)</f>
        <v>29.5</v>
      </c>
    </row>
  </sheetData>
  <mergeCells count="2">
    <mergeCell ref="D36:L36"/>
    <mergeCell ref="B1:L1"/>
  </mergeCells>
  <pageMargins left="0.7" right="0.7" top="0.75" bottom="0.75" header="0.3" footer="0.3"/>
  <pageSetup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dimension ref="A2:Q27"/>
  <sheetViews>
    <sheetView zoomScaleNormal="100" workbookViewId="0"/>
  </sheetViews>
  <sheetFormatPr defaultRowHeight="15"/>
  <cols>
    <col min="1" max="1" width="4.7109375" customWidth="1"/>
    <col min="2" max="3" width="30.7109375" customWidth="1"/>
    <col min="4" max="6" width="9.7109375" customWidth="1"/>
    <col min="7" max="7" width="4.7109375" customWidth="1"/>
    <col min="8" max="17" width="11.7109375" customWidth="1"/>
  </cols>
  <sheetData>
    <row r="2" spans="1:17" ht="15.75" thickBot="1">
      <c r="B2" s="5"/>
      <c r="C2" s="5"/>
      <c r="D2" s="97"/>
      <c r="E2" s="97"/>
      <c r="F2" s="97"/>
      <c r="G2" s="97"/>
      <c r="H2" s="7" t="s">
        <v>23</v>
      </c>
      <c r="I2" s="7" t="s">
        <v>24</v>
      </c>
      <c r="J2" s="7" t="s">
        <v>25</v>
      </c>
      <c r="K2" s="7" t="s">
        <v>26</v>
      </c>
      <c r="L2" s="7" t="s">
        <v>27</v>
      </c>
      <c r="M2" s="7" t="s">
        <v>28</v>
      </c>
      <c r="N2" s="7" t="s">
        <v>29</v>
      </c>
      <c r="O2" s="7" t="s">
        <v>30</v>
      </c>
      <c r="P2" s="7" t="s">
        <v>31</v>
      </c>
      <c r="Q2" s="7" t="s">
        <v>32</v>
      </c>
    </row>
    <row r="3" spans="1:17">
      <c r="B3" s="2"/>
      <c r="C3" s="2"/>
      <c r="D3" s="98"/>
      <c r="E3" s="98"/>
      <c r="F3" s="98"/>
      <c r="G3" s="98"/>
      <c r="H3" s="98"/>
      <c r="I3" s="98"/>
      <c r="J3" s="98"/>
      <c r="K3" s="98"/>
      <c r="L3" s="98"/>
      <c r="M3" s="98"/>
      <c r="N3" s="98"/>
      <c r="O3" s="98"/>
      <c r="P3" s="98"/>
      <c r="Q3" s="98"/>
    </row>
    <row r="4" spans="1:17" ht="15" customHeight="1">
      <c r="B4" s="90" t="s">
        <v>152</v>
      </c>
      <c r="C4" s="90"/>
      <c r="D4" s="110"/>
      <c r="E4" s="110"/>
      <c r="F4" s="110"/>
      <c r="G4" s="110"/>
      <c r="H4" s="110"/>
      <c r="I4" s="110"/>
      <c r="J4" s="110"/>
      <c r="K4" s="110"/>
      <c r="L4" s="110"/>
      <c r="M4" s="110"/>
      <c r="N4" s="110"/>
      <c r="O4" s="110"/>
      <c r="P4" s="110"/>
      <c r="Q4" s="110"/>
    </row>
    <row r="5" spans="1:17" ht="20.100000000000001" customHeight="1">
      <c r="B5" s="88" t="s">
        <v>157</v>
      </c>
      <c r="C5" s="89" t="s">
        <v>167</v>
      </c>
      <c r="D5" s="99" t="s">
        <v>172</v>
      </c>
      <c r="E5" s="100" t="s">
        <v>173</v>
      </c>
      <c r="F5" s="101" t="s">
        <v>174</v>
      </c>
      <c r="G5" s="102"/>
      <c r="H5" s="112">
        <f>'Book Bal Sheet'!C9/'Book Bal Sheet'!C33</f>
        <v>4.9283204724107819</v>
      </c>
      <c r="I5" s="112">
        <f>'Book Bal Sheet'!D9/'Book Bal Sheet'!D33</f>
        <v>9.3316991331098205</v>
      </c>
      <c r="J5" s="112">
        <f>'Book Bal Sheet'!E9/'Book Bal Sheet'!E33</f>
        <v>2.8744933808526625</v>
      </c>
      <c r="K5" s="112">
        <f>'Book Bal Sheet'!F9/'Book Bal Sheet'!F33</f>
        <v>4.5972146131284886</v>
      </c>
      <c r="L5" s="112">
        <f>'Book Bal Sheet'!G9/'Book Bal Sheet'!G33</f>
        <v>2.7080282501168673</v>
      </c>
      <c r="M5" s="113">
        <f>'Book Bal Sheet'!H9/'Book Bal Sheet'!H33</f>
        <v>0.71771186445286228</v>
      </c>
      <c r="N5" s="114">
        <f>'Book Bal Sheet'!I9/'Book Bal Sheet'!I33</f>
        <v>1.0431175830786448</v>
      </c>
      <c r="O5" s="113">
        <f>'Book Bal Sheet'!J9/'Book Bal Sheet'!J33</f>
        <v>1.0649312018009307</v>
      </c>
      <c r="P5" s="113">
        <f>'Book Bal Sheet'!K9/'Book Bal Sheet'!K33</f>
        <v>0.53461165866772031</v>
      </c>
      <c r="Q5" s="112">
        <f>'Book Bal Sheet'!L9/'Book Bal Sheet'!L33</f>
        <v>1.0709754987505884</v>
      </c>
    </row>
    <row r="6" spans="1:17" ht="20.100000000000001" customHeight="1">
      <c r="B6" s="88" t="s">
        <v>158</v>
      </c>
      <c r="C6" s="89" t="s">
        <v>202</v>
      </c>
      <c r="D6" s="167" t="s">
        <v>198</v>
      </c>
      <c r="E6" s="168"/>
      <c r="F6" s="169"/>
      <c r="G6" s="103"/>
      <c r="H6" s="115">
        <f>'Book Bal Sheet'!C9-'Book Bal Sheet'!C33</f>
        <v>5529.02253605844</v>
      </c>
      <c r="I6" s="115">
        <f>'Book Bal Sheet'!D9-'Book Bal Sheet'!D33</f>
        <v>12097.934457853678</v>
      </c>
      <c r="J6" s="115">
        <f>'Book Bal Sheet'!E9-'Book Bal Sheet'!E33</f>
        <v>7030.0261872721021</v>
      </c>
      <c r="K6" s="115">
        <f>'Book Bal Sheet'!F9-'Book Bal Sheet'!F33</f>
        <v>14013.458924950801</v>
      </c>
      <c r="L6" s="115">
        <f>'Book Bal Sheet'!G9-'Book Bal Sheet'!G33</f>
        <v>13510.111093436528</v>
      </c>
      <c r="M6" s="115">
        <f>'Book Bal Sheet'!H9-'Book Bal Sheet'!H33</f>
        <v>-2343.1919593832172</v>
      </c>
      <c r="N6" s="115">
        <f>'Book Bal Sheet'!I9-'Book Bal Sheet'!I33</f>
        <v>375.67657767151832</v>
      </c>
      <c r="O6" s="115">
        <f>'Book Bal Sheet'!J9-'Book Bal Sheet'!J33</f>
        <v>661.16519888675248</v>
      </c>
      <c r="P6" s="115">
        <f>'Book Bal Sheet'!K9-'Book Bal Sheet'!K33</f>
        <v>-5673.6766562204584</v>
      </c>
      <c r="Q6" s="115">
        <f>'Book Bal Sheet'!L9-'Book Bal Sheet'!L33</f>
        <v>698.7198295484086</v>
      </c>
    </row>
    <row r="7" spans="1:17" ht="15" customHeight="1">
      <c r="B7" s="88"/>
      <c r="C7" s="89"/>
      <c r="D7" s="122"/>
      <c r="E7" s="122"/>
      <c r="F7" s="122"/>
      <c r="G7" s="103"/>
      <c r="H7" s="123"/>
      <c r="I7" s="123"/>
      <c r="J7" s="123"/>
      <c r="K7" s="123"/>
      <c r="L7" s="123"/>
      <c r="M7" s="123"/>
      <c r="N7" s="123"/>
      <c r="O7" s="123"/>
      <c r="P7" s="123"/>
      <c r="Q7" s="123"/>
    </row>
    <row r="8" spans="1:17">
      <c r="B8" s="90" t="s">
        <v>153</v>
      </c>
      <c r="C8" s="91"/>
      <c r="D8" s="110"/>
      <c r="E8" s="110"/>
      <c r="F8" s="110"/>
      <c r="G8" s="110"/>
      <c r="H8" s="104"/>
      <c r="I8" s="104"/>
      <c r="J8" s="104"/>
      <c r="K8" s="104"/>
      <c r="L8" s="104"/>
      <c r="M8" s="104"/>
      <c r="N8" s="104"/>
      <c r="O8" s="104"/>
      <c r="P8" s="104"/>
      <c r="Q8" s="104"/>
    </row>
    <row r="9" spans="1:17" ht="20.100000000000001" customHeight="1">
      <c r="B9" s="88" t="s">
        <v>159</v>
      </c>
      <c r="C9" s="89" t="s">
        <v>168</v>
      </c>
      <c r="D9" s="99" t="s">
        <v>175</v>
      </c>
      <c r="E9" s="100" t="s">
        <v>176</v>
      </c>
      <c r="F9" s="101" t="s">
        <v>177</v>
      </c>
      <c r="G9" s="102"/>
      <c r="H9" s="118">
        <f>'Book Bal Sheet'!C47/'Book Bal Sheet'!C19</f>
        <v>0.2493918008725898</v>
      </c>
      <c r="I9" s="118">
        <f>'Book Bal Sheet'!D47/'Book Bal Sheet'!D19</f>
        <v>0.15146933565079923</v>
      </c>
      <c r="J9" s="118">
        <f>'Book Bal Sheet'!E47/'Book Bal Sheet'!E19</f>
        <v>0.5795737586911569</v>
      </c>
      <c r="K9" s="118">
        <f>'Book Bal Sheet'!F47/'Book Bal Sheet'!F19</f>
        <v>0.48320362161884906</v>
      </c>
      <c r="L9" s="118">
        <f>'Book Bal Sheet'!G47/'Book Bal Sheet'!G19</f>
        <v>0.58431888674470134</v>
      </c>
      <c r="M9" s="118">
        <f>'Book Bal Sheet'!H47/'Book Bal Sheet'!H19</f>
        <v>0.62727504024280767</v>
      </c>
      <c r="N9" s="118">
        <f>'Book Bal Sheet'!I47/'Book Bal Sheet'!I19</f>
        <v>0.54807253107147225</v>
      </c>
      <c r="O9" s="118">
        <f>'Book Bal Sheet'!J47/'Book Bal Sheet'!J19</f>
        <v>0.67529697466712091</v>
      </c>
      <c r="P9" s="118">
        <f>'Book Bal Sheet'!K47/'Book Bal Sheet'!K19</f>
        <v>0.63007309669044342</v>
      </c>
      <c r="Q9" s="118">
        <f>'Book Bal Sheet'!L47/'Book Bal Sheet'!L19</f>
        <v>0.55638151198114949</v>
      </c>
    </row>
    <row r="10" spans="1:17" ht="20.100000000000001" customHeight="1">
      <c r="B10" s="88" t="s">
        <v>160</v>
      </c>
      <c r="C10" s="89" t="s">
        <v>203</v>
      </c>
      <c r="D10" s="99" t="s">
        <v>178</v>
      </c>
      <c r="E10" s="100" t="s">
        <v>179</v>
      </c>
      <c r="F10" s="101" t="s">
        <v>175</v>
      </c>
      <c r="G10" s="102"/>
      <c r="H10" s="118">
        <f>'Book Bal Sheet'!C49/'Book Bal Sheet'!C19</f>
        <v>0.75060819912741017</v>
      </c>
      <c r="I10" s="118">
        <f>'Book Bal Sheet'!D49/'Book Bal Sheet'!D19</f>
        <v>0.84853066434920077</v>
      </c>
      <c r="J10" s="118">
        <f>'Book Bal Sheet'!E49/'Book Bal Sheet'!E19</f>
        <v>0.4204262413088431</v>
      </c>
      <c r="K10" s="118">
        <f>'Book Bal Sheet'!F49/'Book Bal Sheet'!F19</f>
        <v>0.516796378381151</v>
      </c>
      <c r="L10" s="118">
        <f>'Book Bal Sheet'!G49/'Book Bal Sheet'!G19</f>
        <v>0.41568111325529866</v>
      </c>
      <c r="M10" s="118">
        <f>'Book Bal Sheet'!H49/'Book Bal Sheet'!H19</f>
        <v>0.37272495975719233</v>
      </c>
      <c r="N10" s="118">
        <f>'Book Bal Sheet'!I49/'Book Bal Sheet'!I19</f>
        <v>0.4519274689285277</v>
      </c>
      <c r="O10" s="118">
        <f>'Book Bal Sheet'!J49/'Book Bal Sheet'!J19</f>
        <v>0.32470302533287904</v>
      </c>
      <c r="P10" s="118">
        <f>'Book Bal Sheet'!K49/'Book Bal Sheet'!K19</f>
        <v>0.36992690330955652</v>
      </c>
      <c r="Q10" s="118">
        <f>'Book Bal Sheet'!L49/'Book Bal Sheet'!L19</f>
        <v>0.44361848801885057</v>
      </c>
    </row>
    <row r="11" spans="1:17" ht="15" customHeight="1">
      <c r="A11" s="125"/>
      <c r="B11" s="126"/>
      <c r="C11" s="127"/>
      <c r="D11" s="102"/>
      <c r="E11" s="102"/>
      <c r="F11" s="102"/>
      <c r="G11" s="102"/>
      <c r="H11" s="124"/>
      <c r="I11" s="124"/>
      <c r="J11" s="124"/>
      <c r="K11" s="124"/>
      <c r="L11" s="124"/>
      <c r="M11" s="124"/>
      <c r="N11" s="124"/>
      <c r="O11" s="124"/>
      <c r="P11" s="124"/>
      <c r="Q11" s="124"/>
    </row>
    <row r="12" spans="1:17">
      <c r="B12" s="90" t="s">
        <v>154</v>
      </c>
      <c r="C12" s="91"/>
      <c r="D12" s="104"/>
      <c r="E12" s="104"/>
      <c r="F12" s="104"/>
      <c r="G12" s="104"/>
      <c r="H12" s="104"/>
      <c r="I12" s="104"/>
      <c r="J12" s="104"/>
      <c r="K12" s="104"/>
      <c r="L12" s="104"/>
      <c r="M12" s="104"/>
      <c r="N12" s="104"/>
      <c r="O12" s="104"/>
      <c r="P12" s="104"/>
      <c r="Q12" s="104"/>
    </row>
    <row r="13" spans="1:17" ht="39.950000000000003" customHeight="1">
      <c r="B13" s="88" t="s">
        <v>161</v>
      </c>
      <c r="C13" s="89" t="s">
        <v>188</v>
      </c>
      <c r="D13" s="99" t="s">
        <v>192</v>
      </c>
      <c r="E13" s="100" t="s">
        <v>193</v>
      </c>
      <c r="F13" s="101" t="s">
        <v>194</v>
      </c>
      <c r="G13" s="102"/>
      <c r="H13" s="111"/>
      <c r="I13" s="116">
        <f>('Income Statements'!D45+('Income Statements'!D26+'Income Statements'!D27)-'Owner Equity'!D18)/(('Book Bal Sheet'!C19+'Book Bal Sheet'!D19)/2)</f>
        <v>0.4357317602441112</v>
      </c>
      <c r="J13" s="116">
        <f>('Income Statements'!E45+('Income Statements'!E26+'Income Statements'!E27)-'Owner Equity'!E18)/(('Book Bal Sheet'!D19+'Book Bal Sheet'!E19)/2)</f>
        <v>0.16852225818301991</v>
      </c>
      <c r="K13" s="116">
        <f>('Income Statements'!F45+('Income Statements'!F26+'Income Statements'!F27)-'Owner Equity'!F18)/(('Book Bal Sheet'!E19+'Book Bal Sheet'!F19)/2)</f>
        <v>0.22211403431284923</v>
      </c>
      <c r="L13" s="116">
        <f>('Income Statements'!G45+('Income Statements'!G26+'Income Statements'!G27)-'Owner Equity'!G18)/(('Book Bal Sheet'!F19+'Book Bal Sheet'!G19)/2)</f>
        <v>0.1818981631452222</v>
      </c>
      <c r="M13" s="116">
        <f>('Income Statements'!H45+('Income Statements'!H26+'Income Statements'!H27)-'Owner Equity'!H18)/(('Book Bal Sheet'!G19+'Book Bal Sheet'!H19)/2)</f>
        <v>-9.4604896324479715E-2</v>
      </c>
      <c r="N13" s="116">
        <f>('Income Statements'!I45+('Income Statements'!I26+'Income Statements'!I27)-'Owner Equity'!I18)/(('Book Bal Sheet'!H19+'Book Bal Sheet'!I19)/2)</f>
        <v>0.12922743843417123</v>
      </c>
      <c r="O13" s="116">
        <f>('Income Statements'!J45+('Income Statements'!J26+'Income Statements'!J27)-'Owner Equity'!J18)/(('Book Bal Sheet'!I19+'Book Bal Sheet'!J19)/2)</f>
        <v>0.10636678458894872</v>
      </c>
      <c r="P13" s="116">
        <f>('Income Statements'!K45+('Income Statements'!K26+'Income Statements'!K27)-'Owner Equity'!K18)/(('Book Bal Sheet'!J19+'Book Bal Sheet'!K19)/2)</f>
        <v>9.6192181528440016E-2</v>
      </c>
      <c r="Q13" s="116">
        <f>('Income Statements'!L45+('Income Statements'!L26+'Income Statements'!L27)-'Owner Equity'!L18)/(('Book Bal Sheet'!K19+'Book Bal Sheet'!L19)/2)</f>
        <v>0.11526021954471517</v>
      </c>
    </row>
    <row r="14" spans="1:17" ht="39.950000000000003" customHeight="1">
      <c r="B14" s="88" t="s">
        <v>162</v>
      </c>
      <c r="C14" s="89" t="s">
        <v>187</v>
      </c>
      <c r="D14" s="99" t="s">
        <v>195</v>
      </c>
      <c r="E14" s="100" t="s">
        <v>196</v>
      </c>
      <c r="F14" s="101" t="s">
        <v>197</v>
      </c>
      <c r="G14" s="102"/>
      <c r="H14" s="111"/>
      <c r="I14" s="119">
        <f>('Income Statements'!D45-'Owner Equity'!D18)/(('Book Bal Sheet'!C49+'Book Bal Sheet'!D49)/2)</f>
        <v>0.53361863145748278</v>
      </c>
      <c r="J14" s="119">
        <f>('Income Statements'!E45-'Owner Equity'!E18)/(('Book Bal Sheet'!D49+'Book Bal Sheet'!E49)/2)</f>
        <v>0.24745503897587529</v>
      </c>
      <c r="K14" s="119">
        <f>('Income Statements'!F45-'Owner Equity'!F18)/(('Book Bal Sheet'!E49+'Book Bal Sheet'!F49)/2)</f>
        <v>0.42858188040526246</v>
      </c>
      <c r="L14" s="119">
        <f>('Income Statements'!G45-'Owner Equity'!G18)/(('Book Bal Sheet'!F49+'Book Bal Sheet'!G49)/2)</f>
        <v>0.32591802971632533</v>
      </c>
      <c r="M14" s="119">
        <f>('Income Statements'!H45-'Owner Equity'!H18)/(('Book Bal Sheet'!G49+'Book Bal Sheet'!H49)/2)</f>
        <v>-0.30517726002285078</v>
      </c>
      <c r="N14" s="119">
        <f>('Income Statements'!I45-'Owner Equity'!I18)/(('Book Bal Sheet'!H49+'Book Bal Sheet'!I49)/2)</f>
        <v>0.25325766725183313</v>
      </c>
      <c r="O14" s="119">
        <f>('Income Statements'!J45-'Owner Equity'!J18)/(('Book Bal Sheet'!I49+'Book Bal Sheet'!J49)/2)</f>
        <v>0.20097006495837955</v>
      </c>
      <c r="P14" s="119">
        <f>('Income Statements'!K45-'Owner Equity'!K18)/(('Book Bal Sheet'!J49+'Book Bal Sheet'!K49)/2)</f>
        <v>0.21067631713159513</v>
      </c>
      <c r="Q14" s="119">
        <f>('Income Statements'!L45-'Owner Equity'!L18)/(('Book Bal Sheet'!K49+'Book Bal Sheet'!L49)/2)</f>
        <v>0.23656537077111756</v>
      </c>
    </row>
    <row r="15" spans="1:17" ht="15" customHeight="1">
      <c r="A15" s="125"/>
      <c r="B15" s="126"/>
      <c r="C15" s="127"/>
      <c r="D15" s="102"/>
      <c r="E15" s="102"/>
      <c r="F15" s="102"/>
      <c r="G15" s="102"/>
      <c r="H15" s="105"/>
      <c r="I15" s="128"/>
      <c r="J15" s="128"/>
      <c r="K15" s="128"/>
      <c r="L15" s="128"/>
      <c r="M15" s="128"/>
      <c r="N15" s="128"/>
      <c r="O15" s="128"/>
      <c r="P15" s="128"/>
      <c r="Q15" s="128"/>
    </row>
    <row r="16" spans="1:17">
      <c r="B16" s="90" t="s">
        <v>155</v>
      </c>
      <c r="C16" s="91"/>
      <c r="D16" s="104"/>
      <c r="E16" s="104"/>
      <c r="F16" s="104"/>
      <c r="G16" s="104"/>
      <c r="H16" s="104"/>
      <c r="I16" s="104"/>
      <c r="J16" s="104"/>
      <c r="K16" s="104"/>
      <c r="L16" s="104"/>
      <c r="M16" s="104"/>
      <c r="N16" s="104"/>
      <c r="O16" s="104"/>
      <c r="P16" s="104"/>
      <c r="Q16" s="104"/>
    </row>
    <row r="17" spans="1:17" ht="20.100000000000001" customHeight="1">
      <c r="B17" s="88" t="s">
        <v>163</v>
      </c>
      <c r="C17" s="89" t="s">
        <v>169</v>
      </c>
      <c r="D17" s="164" t="s">
        <v>180</v>
      </c>
      <c r="E17" s="165"/>
      <c r="F17" s="166"/>
      <c r="G17" s="105"/>
      <c r="H17" s="111"/>
      <c r="I17" s="120">
        <f>'Income Statements'!D8/(('Book Bal Sheet'!C19+'Book Bal Sheet'!D19)/2)</f>
        <v>0.96965954163785728</v>
      </c>
      <c r="J17" s="120">
        <f>'Income Statements'!E8/(('Book Bal Sheet'!D19+'Book Bal Sheet'!E19)/2)</f>
        <v>0.54935084652897703</v>
      </c>
      <c r="K17" s="120">
        <f>'Income Statements'!F8/(('Book Bal Sheet'!E19+'Book Bal Sheet'!F19)/2)</f>
        <v>0.55626200589453267</v>
      </c>
      <c r="L17" s="120">
        <f>'Income Statements'!G8/(('Book Bal Sheet'!F19+'Book Bal Sheet'!G19)/2)</f>
        <v>0.45803141425785043</v>
      </c>
      <c r="M17" s="120">
        <f>'Income Statements'!H8/(('Book Bal Sheet'!G19+'Book Bal Sheet'!H19)/2)</f>
        <v>0.14866677485519514</v>
      </c>
      <c r="N17" s="120">
        <f>'Income Statements'!I8/(('Book Bal Sheet'!H19+'Book Bal Sheet'!I19)/2)</f>
        <v>0.44460376771010746</v>
      </c>
      <c r="O17" s="120">
        <f>'Income Statements'!J8/(('Book Bal Sheet'!I19+'Book Bal Sheet'!J19)/2)</f>
        <v>0.35632617783663162</v>
      </c>
      <c r="P17" s="120">
        <f>'Income Statements'!K8/(('Book Bal Sheet'!J19+'Book Bal Sheet'!K19)/2)</f>
        <v>0.37550037301687444</v>
      </c>
      <c r="Q17" s="120">
        <f>'Income Statements'!L8/(('Book Bal Sheet'!K19+'Book Bal Sheet'!L19)/2)</f>
        <v>0.41173894606498113</v>
      </c>
    </row>
    <row r="18" spans="1:17" ht="39.950000000000003" customHeight="1">
      <c r="B18" s="88" t="s">
        <v>164</v>
      </c>
      <c r="C18" s="89" t="s">
        <v>170</v>
      </c>
      <c r="D18" s="99" t="s">
        <v>181</v>
      </c>
      <c r="E18" s="100" t="s">
        <v>182</v>
      </c>
      <c r="F18" s="101" t="s">
        <v>183</v>
      </c>
      <c r="G18" s="102"/>
      <c r="H18" s="116">
        <f>('Income Statements'!C29-('Income Statements'!C26+'Income Statements'!C27)-'Assets+Depr'!G42)/'Income Statements'!C8</f>
        <v>0.40652980382293763</v>
      </c>
      <c r="I18" s="116">
        <f>('Income Statements'!D29-('Income Statements'!D26+'Income Statements'!D27)-'Assets+Depr'!H42)/'Income Statements'!D8</f>
        <v>0.43055551329062886</v>
      </c>
      <c r="J18" s="116">
        <f>('Income Statements'!E29-('Income Statements'!E26+'Income Statements'!E27)-'Assets+Depr'!I42)/'Income Statements'!E8</f>
        <v>0.56942780962966744</v>
      </c>
      <c r="K18" s="116">
        <f>('Income Statements'!F29-('Income Statements'!F26+'Income Statements'!F27)-'Assets+Depr'!J42)/'Income Statements'!F8</f>
        <v>0.47648210053354728</v>
      </c>
      <c r="L18" s="116">
        <f>('Income Statements'!G29-('Income Statements'!G26+'Income Statements'!G27)-'Assets+Depr'!K42)/'Income Statements'!G8</f>
        <v>0.40612220752660039</v>
      </c>
      <c r="M18" s="121">
        <f>('Income Statements'!H29-('Income Statements'!H26+'Income Statements'!H27)-'Assets+Depr'!L42)/'Income Statements'!H8</f>
        <v>0.95703132962310022</v>
      </c>
      <c r="N18" s="116">
        <f>('Income Statements'!I29-('Income Statements'!I26+'Income Statements'!I27)-'Assets+Depr'!M42)/'Income Statements'!I8</f>
        <v>0.42408268949979211</v>
      </c>
      <c r="O18" s="116">
        <f>('Income Statements'!J29-('Income Statements'!J26+'Income Statements'!J27)-'Assets+Depr'!N42)/'Income Statements'!J8</f>
        <v>0.44396468019209112</v>
      </c>
      <c r="P18" s="116">
        <f>('Income Statements'!K29-('Income Statements'!K26+'Income Statements'!K27)-'Assets+Depr'!O42)/'Income Statements'!K8</f>
        <v>0.49920438321066607</v>
      </c>
      <c r="Q18" s="116">
        <f>('Income Statements'!L29-('Income Statements'!L26+'Income Statements'!L27)-'Assets+Depr'!P42)/'Income Statements'!L8</f>
        <v>0.44412010225275694</v>
      </c>
    </row>
    <row r="19" spans="1:17" ht="20.100000000000001" customHeight="1">
      <c r="B19" s="88" t="s">
        <v>165</v>
      </c>
      <c r="C19" s="89" t="s">
        <v>171</v>
      </c>
      <c r="D19" s="99" t="s">
        <v>184</v>
      </c>
      <c r="E19" s="100" t="s">
        <v>185</v>
      </c>
      <c r="F19" s="101" t="s">
        <v>186</v>
      </c>
      <c r="G19" s="102"/>
      <c r="H19" s="116">
        <f>('Income Statements'!C26+'Income Statements'!C27)/'Income Statements'!C8</f>
        <v>8.2966549295774659E-3</v>
      </c>
      <c r="I19" s="116">
        <f>('Income Statements'!D26+'Income Statements'!D27)/'Income Statements'!D8</f>
        <v>6.1323071133809011E-3</v>
      </c>
      <c r="J19" s="116">
        <f>('Income Statements'!E26+'Income Statements'!E27)/'Income Statements'!E8</f>
        <v>6.0407037917933587E-2</v>
      </c>
      <c r="K19" s="116">
        <f>('Income Statements'!F26+'Income Statements'!F27)/'Income Statements'!F8</f>
        <v>3.6723968953909829E-2</v>
      </c>
      <c r="L19" s="116">
        <f>('Income Statements'!G26+'Income Statements'!G27)/'Income Statements'!G8</f>
        <v>7.3122085538097792E-2</v>
      </c>
      <c r="M19" s="117">
        <f>('Income Statements'!H26+'Income Statements'!H27)/'Income Statements'!H8</f>
        <v>0.17725342298551994</v>
      </c>
      <c r="N19" s="116">
        <f>('Income Statements'!I26+'Income Statements'!I27)/'Income Statements'!I8</f>
        <v>5.6034374819927728E-2</v>
      </c>
      <c r="O19" s="116">
        <f>('Income Statements'!J26+'Income Statements'!J27)/'Income Statements'!J8</f>
        <v>8.7626221880922187E-2</v>
      </c>
      <c r="P19" s="116">
        <f>('Income Statements'!K26+'Income Statements'!K27)/'Income Statements'!K8</f>
        <v>6.1235192084250718E-2</v>
      </c>
      <c r="Q19" s="116">
        <f>('Income Statements'!L26+'Income Statements'!L27)/'Income Statements'!L8</f>
        <v>4.6459205084946123E-2</v>
      </c>
    </row>
    <row r="20" spans="1:17" ht="15" customHeight="1">
      <c r="A20" s="125"/>
      <c r="B20" s="126"/>
      <c r="C20" s="127"/>
      <c r="D20" s="102"/>
      <c r="E20" s="102"/>
      <c r="F20" s="102"/>
      <c r="G20" s="102"/>
      <c r="H20" s="124"/>
      <c r="I20" s="124"/>
      <c r="J20" s="124"/>
      <c r="K20" s="124"/>
      <c r="L20" s="124"/>
      <c r="M20" s="124"/>
      <c r="N20" s="124"/>
      <c r="O20" s="124"/>
      <c r="P20" s="124"/>
      <c r="Q20" s="124"/>
    </row>
    <row r="21" spans="1:17">
      <c r="B21" s="90" t="s">
        <v>156</v>
      </c>
      <c r="C21" s="91"/>
      <c r="D21" s="104"/>
      <c r="E21" s="104"/>
      <c r="F21" s="104"/>
      <c r="G21" s="104"/>
      <c r="H21" s="104"/>
      <c r="I21" s="104"/>
      <c r="J21" s="104"/>
      <c r="K21" s="104"/>
      <c r="L21" s="104"/>
      <c r="M21" s="104"/>
      <c r="N21" s="104"/>
      <c r="O21" s="104"/>
      <c r="P21" s="104"/>
      <c r="Q21" s="104"/>
    </row>
    <row r="22" spans="1:17" ht="60" customHeight="1">
      <c r="B22" s="88" t="s">
        <v>166</v>
      </c>
      <c r="C22" s="89" t="s">
        <v>191</v>
      </c>
      <c r="D22" s="106" t="s">
        <v>199</v>
      </c>
      <c r="E22" s="100" t="s">
        <v>200</v>
      </c>
      <c r="F22" s="101" t="s">
        <v>201</v>
      </c>
      <c r="G22" s="102"/>
      <c r="H22" s="120">
        <f>('Income Statements'!C45+'Assets+Depr'!G42+'Owner Equity'!C10-'Owner Equity'!C19-'Owner Equity'!C20+'Income Statements'!C26)/Loans!D149</f>
        <v>6.1223572261838441</v>
      </c>
      <c r="I22" s="120">
        <f>('Income Statements'!D45+'Assets+Depr'!H42+'Owner Equity'!D10-'Owner Equity'!D19-'Owner Equity'!D20+'Income Statements'!D26)/Loans!E149</f>
        <v>6.5178668881896007</v>
      </c>
      <c r="J22" s="120">
        <f>('Income Statements'!E45+'Assets+Depr'!I42+'Owner Equity'!E10-'Owner Equity'!E19-'Owner Equity'!E20+'Income Statements'!E26)/Loans!F149</f>
        <v>1.4967718738128015</v>
      </c>
      <c r="K22" s="120">
        <f>('Income Statements'!F45+'Assets+Depr'!J42+'Owner Equity'!F10-'Owner Equity'!F19-'Owner Equity'!F20+'Income Statements'!F26)/Loans!G149</f>
        <v>2.6830664212195861</v>
      </c>
      <c r="L22" s="120">
        <f>('Income Statements'!G45+'Assets+Depr'!K42+'Owner Equity'!G10-'Owner Equity'!G19-'Owner Equity'!G20+'Income Statements'!G26)/Loans!H149</f>
        <v>1.557603932468453</v>
      </c>
      <c r="M22" s="120">
        <f>('Income Statements'!H45+'Assets+Depr'!L42+'Owner Equity'!H10-'Owner Equity'!H19-'Owner Equity'!H20+'Income Statements'!H26)/Loans!I149</f>
        <v>-0.40344929785384165</v>
      </c>
      <c r="N22" s="120">
        <f>('Income Statements'!I45+'Assets+Depr'!M42+'Owner Equity'!I10-'Owner Equity'!I19-'Owner Equity'!I20+'Income Statements'!I26)/Loans!J149</f>
        <v>1.3491119243352134</v>
      </c>
      <c r="O22" s="120">
        <f>('Income Statements'!J45+'Assets+Depr'!N42+'Owner Equity'!J10-'Owner Equity'!J19-'Owner Equity'!J20+'Income Statements'!J26)/Loans!K149</f>
        <v>1.1055345350863643</v>
      </c>
      <c r="P22" s="120">
        <f>('Income Statements'!K45+'Assets+Depr'!O42+'Owner Equity'!K10-'Owner Equity'!K19-'Owner Equity'!K20+'Income Statements'!K26)/Loans!L149</f>
        <v>1.1164665726916645</v>
      </c>
      <c r="Q22" s="120">
        <f>('Income Statements'!L45+'Assets+Depr'!P42+'Owner Equity'!L10-'Owner Equity'!L19-'Owner Equity'!L20+'Income Statements'!L26)/Loans!M149</f>
        <v>1.6385243916230772</v>
      </c>
    </row>
    <row r="23" spans="1:17" ht="39.950000000000003" customHeight="1">
      <c r="B23" s="88" t="s">
        <v>189</v>
      </c>
      <c r="C23" s="89" t="s">
        <v>190</v>
      </c>
      <c r="D23" s="164" t="s">
        <v>198</v>
      </c>
      <c r="E23" s="165"/>
      <c r="F23" s="166"/>
      <c r="G23" s="102"/>
      <c r="H23" s="115">
        <f>('Income Statements'!C45+'Assets+Depr'!G42+'Owner Equity'!C10-'Owner Equity'!C19-'Owner Equity'!C20+'Income Statements'!C26)</f>
        <v>8571.1621428571434</v>
      </c>
      <c r="I23" s="115">
        <f>('Income Statements'!D45+'Assets+Depr'!H42+'Owner Equity'!D10-'Owner Equity'!D19-'Owner Equity'!D20+'Income Statements'!D26)</f>
        <v>9124.8667564363459</v>
      </c>
      <c r="J23" s="115">
        <f>('Income Statements'!E45+'Assets+Depr'!I42+'Owner Equity'!E10-'Owner Equity'!E19-'Owner Equity'!E20+'Income Statements'!E26)</f>
        <v>7597.7252832438617</v>
      </c>
      <c r="K23" s="115">
        <f>('Income Statements'!F45+'Assets+Depr'!J42+'Owner Equity'!F10-'Owner Equity'!F19-'Owner Equity'!F20+'Income Statements'!F26)</f>
        <v>13619.444580552168</v>
      </c>
      <c r="L23" s="115">
        <f>('Income Statements'!G45+'Assets+Depr'!K42+'Owner Equity'!G10-'Owner Equity'!G19-'Owner Equity'!G20+'Income Statements'!G26)</f>
        <v>16679.009330223387</v>
      </c>
      <c r="M23" s="115">
        <f>('Income Statements'!H45+'Assets+Depr'!L42+'Owner Equity'!H10-'Owner Equity'!H19-'Owner Equity'!H20+'Income Statements'!H26)</f>
        <v>-4320.1833681249955</v>
      </c>
      <c r="N23" s="115">
        <f>('Income Statements'!I45+'Assets+Depr'!M42+'Owner Equity'!I10-'Owner Equity'!I19-'Owner Equity'!I20+'Income Statements'!I26)</f>
        <v>14446.451953830308</v>
      </c>
      <c r="O23" s="115">
        <f>('Income Statements'!J45+'Assets+Depr'!N42+'Owner Equity'!J10-'Owner Equity'!J19-'Owner Equity'!J20+'Income Statements'!J26)</f>
        <v>14922.814948004863</v>
      </c>
      <c r="P23" s="115">
        <f>('Income Statements'!K45+'Assets+Depr'!O42+'Owner Equity'!K10-'Owner Equity'!K19-'Owner Equity'!K20+'Income Statements'!K26)</f>
        <v>16954.24518721952</v>
      </c>
      <c r="Q23" s="115">
        <f>('Income Statements'!L45+'Assets+Depr'!P42+'Owner Equity'!L10-'Owner Equity'!L19-'Owner Equity'!L20+'Income Statements'!L26)</f>
        <v>20134.88661658236</v>
      </c>
    </row>
    <row r="24" spans="1:17" ht="15.75" thickBot="1">
      <c r="B24" s="129"/>
      <c r="C24" s="129"/>
      <c r="D24" s="129"/>
      <c r="E24" s="129"/>
      <c r="F24" s="129"/>
      <c r="G24" s="129"/>
      <c r="H24" s="129"/>
      <c r="I24" s="129"/>
      <c r="J24" s="129"/>
      <c r="K24" s="129"/>
      <c r="L24" s="129"/>
      <c r="M24" s="129"/>
      <c r="N24" s="129"/>
      <c r="O24" s="129"/>
      <c r="P24" s="129"/>
      <c r="Q24" s="129"/>
    </row>
    <row r="27" spans="1:17">
      <c r="I27" s="34"/>
    </row>
  </sheetData>
  <mergeCells count="3">
    <mergeCell ref="D23:F23"/>
    <mergeCell ref="D17:F17"/>
    <mergeCell ref="D6:F6"/>
  </mergeCells>
  <conditionalFormatting sqref="H5:Q5">
    <cfRule type="cellIs" dxfId="29" priority="31" operator="lessThan">
      <formula>1</formula>
    </cfRule>
    <cfRule type="cellIs" dxfId="28" priority="32" operator="between">
      <formula>1</formula>
      <formula>1.5</formula>
    </cfRule>
    <cfRule type="cellIs" dxfId="27" priority="33" operator="greaterThan">
      <formula>1.5</formula>
    </cfRule>
  </conditionalFormatting>
  <conditionalFormatting sqref="H9:Q9">
    <cfRule type="cellIs" dxfId="26" priority="28" operator="greaterThan">
      <formula>0.7</formula>
    </cfRule>
    <cfRule type="cellIs" dxfId="25" priority="29" operator="between">
      <formula>0.3</formula>
      <formula>"70%%"</formula>
    </cfRule>
    <cfRule type="cellIs" dxfId="24" priority="30" operator="lessThan">
      <formula>0.3</formula>
    </cfRule>
  </conditionalFormatting>
  <conditionalFormatting sqref="H10:Q10">
    <cfRule type="cellIs" dxfId="23" priority="25" operator="lessThan">
      <formula>0.3</formula>
    </cfRule>
    <cfRule type="cellIs" dxfId="22" priority="26" operator="between">
      <formula>0.3</formula>
      <formula>0.55</formula>
    </cfRule>
    <cfRule type="cellIs" dxfId="21" priority="27" operator="greaterThan">
      <formula>0.55</formula>
    </cfRule>
  </conditionalFormatting>
  <conditionalFormatting sqref="I13">
    <cfRule type="cellIs" dxfId="20" priority="22" operator="lessThan">
      <formula>0.01</formula>
    </cfRule>
    <cfRule type="cellIs" dxfId="19" priority="23" operator="between">
      <formula>0.01</formula>
      <formula>0.05</formula>
    </cfRule>
    <cfRule type="cellIs" dxfId="18" priority="24" operator="greaterThan">
      <formula>0.05</formula>
    </cfRule>
  </conditionalFormatting>
  <conditionalFormatting sqref="I14">
    <cfRule type="cellIs" dxfId="17" priority="19" operator="lessThan">
      <formula>0.05</formula>
    </cfRule>
    <cfRule type="cellIs" dxfId="16" priority="20" operator="between">
      <formula>0.05</formula>
      <formula>0.1</formula>
    </cfRule>
    <cfRule type="cellIs" dxfId="15" priority="21" operator="greaterThan">
      <formula>0.1</formula>
    </cfRule>
  </conditionalFormatting>
  <conditionalFormatting sqref="H18:Q18">
    <cfRule type="cellIs" dxfId="14" priority="16" operator="greaterThan">
      <formula>0.85</formula>
    </cfRule>
    <cfRule type="cellIs" dxfId="13" priority="17" operator="between">
      <formula>0.7</formula>
      <formula>0.85</formula>
    </cfRule>
    <cfRule type="cellIs" dxfId="12" priority="18" operator="lessThan">
      <formula>0.7</formula>
    </cfRule>
  </conditionalFormatting>
  <conditionalFormatting sqref="H19:Q19">
    <cfRule type="cellIs" dxfId="11" priority="13" operator="greaterThan">
      <formula>0.2</formula>
    </cfRule>
    <cfRule type="cellIs" dxfId="10" priority="14" operator="between">
      <formula>0.1</formula>
      <formula>0.2</formula>
    </cfRule>
    <cfRule type="cellIs" dxfId="9" priority="15" operator="lessThan">
      <formula>0.1</formula>
    </cfRule>
  </conditionalFormatting>
  <conditionalFormatting sqref="J13:Q13">
    <cfRule type="cellIs" dxfId="8" priority="7" operator="lessThan">
      <formula>0.01</formula>
    </cfRule>
    <cfRule type="cellIs" dxfId="7" priority="8" operator="between">
      <formula>0.01</formula>
      <formula>0.05</formula>
    </cfRule>
    <cfRule type="cellIs" dxfId="6" priority="9" operator="greaterThan">
      <formula>0.05</formula>
    </cfRule>
  </conditionalFormatting>
  <conditionalFormatting sqref="J14:Q14">
    <cfRule type="cellIs" dxfId="5" priority="4" operator="lessThan">
      <formula>0.05</formula>
    </cfRule>
    <cfRule type="cellIs" dxfId="4" priority="5" operator="between">
      <formula>0.05</formula>
      <formula>0.1</formula>
    </cfRule>
    <cfRule type="cellIs" dxfId="3" priority="6" operator="greaterThan">
      <formula>0.1</formula>
    </cfRule>
  </conditionalFormatting>
  <conditionalFormatting sqref="H22:Q22">
    <cfRule type="cellIs" dxfId="2" priority="1" operator="lessThan">
      <formula>1.1</formula>
    </cfRule>
    <cfRule type="cellIs" dxfId="1" priority="2" operator="between">
      <formula>1.1</formula>
      <formula>1.35</formula>
    </cfRule>
    <cfRule type="cellIs" dxfId="0" priority="3" operator="greaterThan">
      <formula>1.35</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Story</vt:lpstr>
      <vt:lpstr>Book Bal Sheet</vt:lpstr>
      <vt:lpstr>Mkt Bal Sheet</vt:lpstr>
      <vt:lpstr>Assets+Depr</vt:lpstr>
      <vt:lpstr>Loans</vt:lpstr>
      <vt:lpstr>Income Statements</vt:lpstr>
      <vt:lpstr>Owner Equity</vt:lpstr>
      <vt:lpstr>Ratios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Tranel</dc:creator>
  <cp:lastModifiedBy>PrabhakarM</cp:lastModifiedBy>
  <dcterms:created xsi:type="dcterms:W3CDTF">2012-01-23T23:04:44Z</dcterms:created>
  <dcterms:modified xsi:type="dcterms:W3CDTF">2012-05-21T10:55:57Z</dcterms:modified>
</cp:coreProperties>
</file>